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defaultThemeVersion="124226"/>
  <bookViews>
    <workbookView xWindow="-15" yWindow="-15" windowWidth="9720" windowHeight="7320" tabRatio="359"/>
  </bookViews>
  <sheets>
    <sheet name="braquets" sheetId="12" r:id="rId1"/>
    <sheet name="braquets n&amp;b" sheetId="13" state="hidden" r:id="rId2"/>
    <sheet name="remarques" sheetId="14" state="hidden" r:id="rId3"/>
    <sheet name="ETRTO" sheetId="11" state="hidden" r:id="rId4"/>
    <sheet name="créer liste" sheetId="15" state="hidden" r:id="rId5"/>
  </sheets>
  <definedNames>
    <definedName name="_rl3" localSheetId="1">'braquets n&amp;b'!$E$11</definedName>
    <definedName name="_rl3">braquets!$E$11</definedName>
    <definedName name="circonférence" localSheetId="1">'braquets n&amp;b'!$X$8</definedName>
    <definedName name="circonférence">braquets!$X$8</definedName>
    <definedName name="plateau_1" localSheetId="1">'braquets n&amp;b'!$C$8</definedName>
    <definedName name="plateau_1">braquets!$C$8</definedName>
    <definedName name="plateau_2" localSheetId="1">'braquets n&amp;b'!$E$8</definedName>
    <definedName name="plateau_2">braquets!$E$8</definedName>
    <definedName name="plateau_3" localSheetId="1">'braquets n&amp;b'!$G$8</definedName>
    <definedName name="plateau_3">braquets!$G$8</definedName>
    <definedName name="rl_1" localSheetId="1">'braquets n&amp;b'!$C$11</definedName>
    <definedName name="rl_1">braquets!$C$11</definedName>
    <definedName name="rl_10" localSheetId="1">'braquets n&amp;b'!$L$11</definedName>
    <definedName name="rl_10">braquets!$L$11</definedName>
    <definedName name="rl_2" localSheetId="1">'braquets n&amp;b'!$D$11</definedName>
    <definedName name="rl_2">braquets!$D$11</definedName>
    <definedName name="rl_3" localSheetId="1">'braquets n&amp;b'!$E$11</definedName>
    <definedName name="rl_3">braquets!$E$11</definedName>
    <definedName name="rl_4" localSheetId="1">'braquets n&amp;b'!$F$11</definedName>
    <definedName name="rl_4">braquets!$F$11</definedName>
    <definedName name="rl_5" localSheetId="1">'braquets n&amp;b'!$G$11</definedName>
    <definedName name="rl_5">braquets!$G$11</definedName>
    <definedName name="rl_6" localSheetId="1">'braquets n&amp;b'!$H$11</definedName>
    <definedName name="rl_6">braquets!$H$11</definedName>
    <definedName name="rl_7" localSheetId="1">'braquets n&amp;b'!$I$11</definedName>
    <definedName name="rl_7">braquets!$I$11</definedName>
    <definedName name="rl_8" localSheetId="1">'braquets n&amp;b'!$J$11</definedName>
    <definedName name="rl_8">braquets!$J$11</definedName>
    <definedName name="rl_9" localSheetId="1">'braquets n&amp;b'!$K$11</definedName>
    <definedName name="rl_9">braquets!$K$11</definedName>
    <definedName name="_xlnm.Print_Area" localSheetId="0">braquets!$B$2:$T$26</definedName>
    <definedName name="_xlnm.Print_Area" localSheetId="1">'braquets n&amp;b'!$B$2:$T$26</definedName>
  </definedNames>
  <calcPr calcId="144525"/>
</workbook>
</file>

<file path=xl/calcChain.xml><?xml version="1.0" encoding="utf-8"?>
<calcChain xmlns="http://schemas.openxmlformats.org/spreadsheetml/2006/main">
  <c r="V8" i="13" l="1"/>
  <c r="W8" i="13"/>
  <c r="X8" i="13" s="1"/>
  <c r="C16" i="13"/>
  <c r="D16" i="13"/>
  <c r="I16" i="13"/>
  <c r="J16" i="13"/>
  <c r="K16" i="13" s="1"/>
  <c r="O16" i="13"/>
  <c r="P16" i="13"/>
  <c r="C17" i="13"/>
  <c r="D17" i="13"/>
  <c r="E17" i="13" s="1"/>
  <c r="I17" i="13"/>
  <c r="J17" i="13"/>
  <c r="O17" i="13"/>
  <c r="P17" i="13"/>
  <c r="Q17" i="13" s="1"/>
  <c r="C18" i="13"/>
  <c r="D18" i="13"/>
  <c r="I18" i="13"/>
  <c r="J18" i="13"/>
  <c r="K18" i="13" s="1"/>
  <c r="O18" i="13"/>
  <c r="P18" i="13"/>
  <c r="C19" i="13"/>
  <c r="D19" i="13"/>
  <c r="E19" i="13" s="1"/>
  <c r="I19" i="13"/>
  <c r="J19" i="13"/>
  <c r="O19" i="13"/>
  <c r="P19" i="13"/>
  <c r="Q19" i="13" s="1"/>
  <c r="C20" i="13"/>
  <c r="D20" i="13"/>
  <c r="I20" i="13"/>
  <c r="J20" i="13"/>
  <c r="K20" i="13" s="1"/>
  <c r="O20" i="13"/>
  <c r="P20" i="13"/>
  <c r="C21" i="13"/>
  <c r="D21" i="13"/>
  <c r="E21" i="13" s="1"/>
  <c r="I21" i="13"/>
  <c r="J21" i="13"/>
  <c r="O21" i="13"/>
  <c r="P21" i="13"/>
  <c r="Q21" i="13" s="1"/>
  <c r="C22" i="13"/>
  <c r="D22" i="13"/>
  <c r="I22" i="13"/>
  <c r="J22" i="13"/>
  <c r="K22" i="13" s="1"/>
  <c r="O22" i="13"/>
  <c r="P22" i="13"/>
  <c r="C23" i="13"/>
  <c r="D23" i="13"/>
  <c r="E23" i="13" s="1"/>
  <c r="I23" i="13"/>
  <c r="J23" i="13"/>
  <c r="O23" i="13"/>
  <c r="P23" i="13"/>
  <c r="Q23" i="13" s="1"/>
  <c r="C24" i="13"/>
  <c r="D24" i="13"/>
  <c r="I24" i="13"/>
  <c r="J24" i="13"/>
  <c r="K24" i="13" s="1"/>
  <c r="O24" i="13"/>
  <c r="P24" i="13"/>
  <c r="C25" i="13"/>
  <c r="D25" i="13"/>
  <c r="E25" i="13" s="1"/>
  <c r="I25" i="13"/>
  <c r="J25" i="13"/>
  <c r="O25" i="13"/>
  <c r="P25" i="13"/>
  <c r="Q25" i="13" s="1"/>
  <c r="V8" i="12"/>
  <c r="W8" i="12"/>
  <c r="X8" i="12" s="1"/>
  <c r="P8" i="12" s="1"/>
  <c r="C16" i="12"/>
  <c r="D16" i="12"/>
  <c r="I16" i="12"/>
  <c r="J16" i="12"/>
  <c r="O16" i="12"/>
  <c r="P16" i="12"/>
  <c r="C17" i="12"/>
  <c r="D17" i="12"/>
  <c r="I17" i="12"/>
  <c r="J17" i="12"/>
  <c r="O17" i="12"/>
  <c r="P17" i="12"/>
  <c r="C18" i="12"/>
  <c r="D18" i="12"/>
  <c r="I18" i="12"/>
  <c r="J18" i="12"/>
  <c r="O18" i="12"/>
  <c r="P18" i="12"/>
  <c r="C19" i="12"/>
  <c r="D19" i="12"/>
  <c r="I19" i="12"/>
  <c r="J19" i="12"/>
  <c r="O19" i="12"/>
  <c r="P19" i="12"/>
  <c r="C20" i="12"/>
  <c r="D20" i="12"/>
  <c r="I20" i="12"/>
  <c r="J20" i="12"/>
  <c r="O20" i="12"/>
  <c r="P20" i="12"/>
  <c r="C21" i="12"/>
  <c r="D21" i="12"/>
  <c r="I21" i="12"/>
  <c r="J21" i="12"/>
  <c r="O21" i="12"/>
  <c r="P21" i="12"/>
  <c r="C22" i="12"/>
  <c r="D22" i="12"/>
  <c r="I22" i="12"/>
  <c r="J22" i="12"/>
  <c r="O22" i="12"/>
  <c r="P22" i="12"/>
  <c r="C23" i="12"/>
  <c r="D23" i="12"/>
  <c r="I23" i="12"/>
  <c r="J23" i="12"/>
  <c r="O23" i="12"/>
  <c r="P23" i="12"/>
  <c r="C24" i="12"/>
  <c r="D24" i="12"/>
  <c r="I24" i="12"/>
  <c r="J24" i="12"/>
  <c r="O24" i="12"/>
  <c r="P24" i="12"/>
  <c r="C25" i="12"/>
  <c r="D25" i="12"/>
  <c r="I25" i="12"/>
  <c r="J25" i="12"/>
  <c r="O25" i="12"/>
  <c r="P25" i="12"/>
  <c r="R8" i="12" l="1"/>
  <c r="E17" i="12"/>
  <c r="Q22" i="12"/>
  <c r="E23" i="12"/>
  <c r="K23" i="12"/>
  <c r="Q24" i="12"/>
  <c r="E25" i="12"/>
  <c r="K16" i="12"/>
  <c r="Q17" i="12"/>
  <c r="E20" i="12"/>
  <c r="K20" i="12"/>
  <c r="K21" i="12"/>
  <c r="Q21" i="12"/>
  <c r="R21" i="12" s="1"/>
  <c r="S21" i="12" s="1"/>
  <c r="E22" i="12"/>
  <c r="F22" i="12" s="1"/>
  <c r="G22" i="12" s="1"/>
  <c r="E24" i="12"/>
  <c r="F24" i="12" s="1"/>
  <c r="G24" i="12" s="1"/>
  <c r="Q25" i="12"/>
  <c r="K24" i="12"/>
  <c r="K22" i="12"/>
  <c r="L22" i="12" s="1"/>
  <c r="M22" i="12" s="1"/>
  <c r="Q20" i="12"/>
  <c r="R20" i="12" s="1"/>
  <c r="S20" i="12" s="1"/>
  <c r="K19" i="12"/>
  <c r="L19" i="12" s="1"/>
  <c r="M19" i="12" s="1"/>
  <c r="Q18" i="12"/>
  <c r="R17" i="12" s="1"/>
  <c r="S17" i="12" s="1"/>
  <c r="E18" i="12"/>
  <c r="Q16" i="12"/>
  <c r="R16" i="12" s="1"/>
  <c r="S16" i="12" s="1"/>
  <c r="K25" i="12"/>
  <c r="Q23" i="12"/>
  <c r="R23" i="12" s="1"/>
  <c r="S23" i="12" s="1"/>
  <c r="E21" i="12"/>
  <c r="F21" i="12" s="1"/>
  <c r="G21" i="12" s="1"/>
  <c r="Q19" i="12"/>
  <c r="E19" i="12"/>
  <c r="F19" i="12" s="1"/>
  <c r="G19" i="12" s="1"/>
  <c r="K18" i="12"/>
  <c r="L18" i="12" s="1"/>
  <c r="M18" i="12" s="1"/>
  <c r="K17" i="12"/>
  <c r="E16" i="12"/>
  <c r="F16" i="12" s="1"/>
  <c r="G16" i="12" s="1"/>
  <c r="E16" i="13"/>
  <c r="F16" i="13" s="1"/>
  <c r="G16" i="13" s="1"/>
  <c r="Q16" i="13"/>
  <c r="R16" i="13" s="1"/>
  <c r="S16" i="13" s="1"/>
  <c r="K17" i="13"/>
  <c r="L17" i="13" s="1"/>
  <c r="M17" i="13" s="1"/>
  <c r="E18" i="13"/>
  <c r="F18" i="13" s="1"/>
  <c r="G18" i="13" s="1"/>
  <c r="Q18" i="13"/>
  <c r="R18" i="13" s="1"/>
  <c r="S18" i="13" s="1"/>
  <c r="K19" i="13"/>
  <c r="L19" i="13" s="1"/>
  <c r="M19" i="13" s="1"/>
  <c r="E20" i="13"/>
  <c r="F20" i="13" s="1"/>
  <c r="G20" i="13" s="1"/>
  <c r="Q20" i="13"/>
  <c r="R20" i="13" s="1"/>
  <c r="S20" i="13" s="1"/>
  <c r="K21" i="13"/>
  <c r="L21" i="13" s="1"/>
  <c r="M21" i="13" s="1"/>
  <c r="E22" i="13"/>
  <c r="F22" i="13" s="1"/>
  <c r="G22" i="13" s="1"/>
  <c r="Q22" i="13"/>
  <c r="R22" i="13" s="1"/>
  <c r="S22" i="13" s="1"/>
  <c r="K23" i="13"/>
  <c r="L23" i="13" s="1"/>
  <c r="M23" i="13" s="1"/>
  <c r="E24" i="13"/>
  <c r="F24" i="13" s="1"/>
  <c r="G24" i="13" s="1"/>
  <c r="Q24" i="13"/>
  <c r="R24" i="13" s="1"/>
  <c r="S24" i="13" s="1"/>
  <c r="K25" i="13"/>
  <c r="L24" i="13" s="1"/>
  <c r="M24" i="13" s="1"/>
  <c r="L21" i="12"/>
  <c r="M21" i="12" s="1"/>
  <c r="L23" i="12"/>
  <c r="M23" i="12" s="1"/>
  <c r="R19" i="12"/>
  <c r="S19" i="12" s="1"/>
  <c r="L17" i="12"/>
  <c r="M17" i="12" s="1"/>
  <c r="F17" i="12"/>
  <c r="G17" i="12" s="1"/>
  <c r="L20" i="12" l="1"/>
  <c r="M20" i="12" s="1"/>
  <c r="R22" i="12"/>
  <c r="S22" i="12" s="1"/>
  <c r="R18" i="12"/>
  <c r="S18" i="12" s="1"/>
  <c r="L24" i="12"/>
  <c r="M24" i="12" s="1"/>
  <c r="F18" i="12"/>
  <c r="G18" i="12" s="1"/>
  <c r="F20" i="12"/>
  <c r="G20" i="12" s="1"/>
  <c r="L16" i="12"/>
  <c r="M16" i="12" s="1"/>
  <c r="R24" i="12"/>
  <c r="S24" i="12" s="1"/>
  <c r="F23" i="12"/>
  <c r="G23" i="12" s="1"/>
  <c r="F17" i="13"/>
  <c r="G17" i="13" s="1"/>
  <c r="L18" i="13"/>
  <c r="M18" i="13" s="1"/>
  <c r="R19" i="13"/>
  <c r="S19" i="13" s="1"/>
  <c r="F21" i="13"/>
  <c r="G21" i="13" s="1"/>
  <c r="L22" i="13"/>
  <c r="M22" i="13" s="1"/>
  <c r="R23" i="13"/>
  <c r="S23" i="13" s="1"/>
  <c r="L16" i="13"/>
  <c r="M16" i="13" s="1"/>
  <c r="R17" i="13"/>
  <c r="S17" i="13" s="1"/>
  <c r="F19" i="13"/>
  <c r="G19" i="13" s="1"/>
  <c r="L20" i="13"/>
  <c r="M20" i="13" s="1"/>
  <c r="R21" i="13"/>
  <c r="S21" i="13" s="1"/>
  <c r="F23" i="13"/>
  <c r="G23" i="13" s="1"/>
</calcChain>
</file>

<file path=xl/sharedStrings.xml><?xml version="1.0" encoding="utf-8"?>
<sst xmlns="http://schemas.openxmlformats.org/spreadsheetml/2006/main" count="253" uniqueCount="141">
  <si>
    <t>Plateau</t>
  </si>
  <si>
    <t>Dvlpt</t>
  </si>
  <si>
    <t>Ecart</t>
  </si>
  <si>
    <t>%</t>
  </si>
  <si>
    <t>RL</t>
  </si>
  <si>
    <t>Choix de la roue</t>
  </si>
  <si>
    <t>Choix de la roue libre</t>
  </si>
  <si>
    <t>Choix des plateaux</t>
  </si>
  <si>
    <t>Grand</t>
  </si>
  <si>
    <t>Moyen</t>
  </si>
  <si>
    <t>Petit</t>
  </si>
  <si>
    <t>Diamètre</t>
  </si>
  <si>
    <t>ETRTO</t>
  </si>
  <si>
    <t>47-305</t>
  </si>
  <si>
    <t>16x1,75</t>
  </si>
  <si>
    <t>47-406</t>
  </si>
  <si>
    <t>20x1,75</t>
  </si>
  <si>
    <t>47-507</t>
  </si>
  <si>
    <t>24x1,75</t>
  </si>
  <si>
    <t>23-571</t>
  </si>
  <si>
    <t>40-559</t>
  </si>
  <si>
    <t>47-559</t>
  </si>
  <si>
    <t>26x1,75</t>
  </si>
  <si>
    <t>54-559</t>
  </si>
  <si>
    <t>26x2,00</t>
  </si>
  <si>
    <t>20-622</t>
  </si>
  <si>
    <t>700x20c</t>
  </si>
  <si>
    <t>23-622</t>
  </si>
  <si>
    <t>700x23c</t>
  </si>
  <si>
    <t>25-622</t>
  </si>
  <si>
    <t>700x25c</t>
  </si>
  <si>
    <t>28-622</t>
  </si>
  <si>
    <t>700x28c</t>
  </si>
  <si>
    <t>32-622</t>
  </si>
  <si>
    <t>700x32c</t>
  </si>
  <si>
    <t>650x32b</t>
  </si>
  <si>
    <t>650x23c</t>
  </si>
  <si>
    <t>26x1,00</t>
  </si>
  <si>
    <t>26x1,50</t>
  </si>
  <si>
    <t>mm</t>
  </si>
  <si>
    <t>roues</t>
  </si>
  <si>
    <t>600x25c</t>
  </si>
  <si>
    <t>non</t>
  </si>
  <si>
    <t>25-540</t>
  </si>
  <si>
    <t>32-584</t>
  </si>
  <si>
    <t>23-559</t>
  </si>
  <si>
    <t>E.T.R.T.O.</t>
  </si>
  <si>
    <t>ANGLAIS</t>
  </si>
  <si>
    <t>ALLEMAND</t>
  </si>
  <si>
    <t>FRANCAIS</t>
  </si>
  <si>
    <t>PERIMETRE JANTE</t>
  </si>
  <si>
    <t>47-203</t>
  </si>
  <si>
    <t>12 1/2x1.75</t>
  </si>
  <si>
    <t>638.4 MM</t>
  </si>
  <si>
    <t>62-203</t>
  </si>
  <si>
    <t>12 1/2x2 1/4</t>
  </si>
  <si>
    <t>320x57</t>
  </si>
  <si>
    <t>16x1.75</t>
  </si>
  <si>
    <t>957.2 MM</t>
  </si>
  <si>
    <t>37-406</t>
  </si>
  <si>
    <t>20x1.3</t>
  </si>
  <si>
    <t>1274.2 MM</t>
  </si>
  <si>
    <t>20x1.75</t>
  </si>
  <si>
    <t>54-406</t>
  </si>
  <si>
    <t>20x1.95</t>
  </si>
  <si>
    <t>37-540</t>
  </si>
  <si>
    <t>24x1 3/8</t>
  </si>
  <si>
    <t>600x35A</t>
  </si>
  <si>
    <t>1965.5 MM</t>
  </si>
  <si>
    <t>24x1.75</t>
  </si>
  <si>
    <t>1594 MM</t>
  </si>
  <si>
    <t>37-590</t>
  </si>
  <si>
    <t>26x1 3/8</t>
  </si>
  <si>
    <t>650x35A</t>
  </si>
  <si>
    <t>1854 MM</t>
  </si>
  <si>
    <t>40-584</t>
  </si>
  <si>
    <t>26x1 ½</t>
  </si>
  <si>
    <t>650x35B</t>
  </si>
  <si>
    <t>1834 MM</t>
  </si>
  <si>
    <t>47-559 atb</t>
  </si>
  <si>
    <t>26x1.75</t>
  </si>
  <si>
    <t>650x47</t>
  </si>
  <si>
    <t>1755.5 MM</t>
  </si>
  <si>
    <t>26x1.75/1.9</t>
  </si>
  <si>
    <t>54-559 atb</t>
  </si>
  <si>
    <t>26x2.00</t>
  </si>
  <si>
    <t>650x50</t>
  </si>
  <si>
    <t>32-630</t>
  </si>
  <si>
    <t>27x1 ¼</t>
  </si>
  <si>
    <t>1978.5 MM</t>
  </si>
  <si>
    <t>22-622</t>
  </si>
  <si>
    <t>28x1</t>
  </si>
  <si>
    <t>700x22C</t>
  </si>
  <si>
    <t>1955 MM</t>
  </si>
  <si>
    <t>700x23C</t>
  </si>
  <si>
    <t>28x1 5/8x1 1/16</t>
  </si>
  <si>
    <t>700x25C</t>
  </si>
  <si>
    <t>28x1 5/8x1 1/8</t>
  </si>
  <si>
    <t>700x28C</t>
  </si>
  <si>
    <t>28x1 5/8x1 ¼</t>
  </si>
  <si>
    <t>700x32C</t>
  </si>
  <si>
    <t>37-622</t>
  </si>
  <si>
    <t>28x1 5/8x1 3/8</t>
  </si>
  <si>
    <t>28x1 3/8x1 5/8</t>
  </si>
  <si>
    <t>700x35C</t>
  </si>
  <si>
    <t>40-622</t>
  </si>
  <si>
    <t>28x1 5/8x1 ½</t>
  </si>
  <si>
    <t>700x38/40C</t>
  </si>
  <si>
    <t>40-635</t>
  </si>
  <si>
    <t>28x1 ½</t>
  </si>
  <si>
    <t>1944 MM</t>
  </si>
  <si>
    <t>47-622</t>
  </si>
  <si>
    <t>28x1.75</t>
  </si>
  <si>
    <t>700x40/42C</t>
  </si>
  <si>
    <t>700B standard</t>
  </si>
  <si>
    <t>Daniel Clerc</t>
  </si>
  <si>
    <t>ps : j'ai mis une feuille en noir et blanc pour économiser l'encre lors des impressions</t>
  </si>
  <si>
    <t>Le braquet est une valeur mathématique (c'est un rapport)</t>
  </si>
  <si>
    <t>La circonférence n'est jamais vraiment "juste" puisqu'elle dépend du pneu (élasticité), de la pression de gonflage, du poids du cycliste...</t>
  </si>
  <si>
    <t xml:space="preserve">Ma solution est complète </t>
  </si>
  <si>
    <t>Braquets</t>
  </si>
  <si>
    <t>Elle va du mono plateau avec mono pignon au trois plateaux avec dix pignons</t>
  </si>
  <si>
    <t>Elle propose la plupart des diamètres de roues : 16' 20' 600c 650c 650b 24' 26' 700c</t>
  </si>
  <si>
    <t>Elle propose les pneus les plus courants (j'aurai pu faire davantage : j'ai surtout choisi le 1.75 pour les vélos enfants)</t>
  </si>
  <si>
    <t>Elle inclue la notion de pourcentage (indispensable pour visualiser facilement les écarts)</t>
  </si>
  <si>
    <t>Elle n'affiche que les données choisies</t>
  </si>
  <si>
    <t>Elle montre les braquets à éviter (en italique) dû à un croisement exagéré de la chaîne</t>
  </si>
  <si>
    <t>Vous pouvez modifier les données ETRTO et les circonférences</t>
  </si>
  <si>
    <t>remarque : données validation pour les listes déroulantes</t>
  </si>
  <si>
    <t>Créer une liste déroulante</t>
  </si>
  <si>
    <t xml:space="preserve">Vous pouvez créer dans une feuille de calcul une liste déroulante, à l'image de celles que l'on rencontre sur Internet. Très discrète, elle n'apparaît que lorsqu'on clique sur les cellules concernées et offre un choix de termes prédéfinis, par exemple des devises (euro, dollar ou livre sterling), des civilités (M., Mme ou Mlle) ou des précisions commerciales (prix au kilo, aux 100 grammes ou à la pièce). </t>
  </si>
  <si>
    <r>
      <t xml:space="preserve">Sélectionnez sur votre feuille vierge les cellules concernées. Choisissez </t>
    </r>
    <r>
      <rPr>
        <b/>
        <sz val="10"/>
        <color indexed="8"/>
        <rFont val="Arial"/>
        <family val="2"/>
      </rPr>
      <t>Données/Validation</t>
    </r>
    <r>
      <rPr>
        <sz val="10"/>
        <color indexed="8"/>
        <rFont val="Arial"/>
        <family val="2"/>
      </rPr>
      <t xml:space="preserve"> dans le menu principal. Dans la fenêtre </t>
    </r>
    <r>
      <rPr>
        <b/>
        <sz val="10"/>
        <color indexed="8"/>
        <rFont val="Arial"/>
        <family val="2"/>
      </rPr>
      <t>Validation des données</t>
    </r>
    <r>
      <rPr>
        <sz val="10"/>
        <color indexed="8"/>
        <rFont val="Arial"/>
        <family val="2"/>
      </rPr>
      <t xml:space="preserve"> , sous la mention </t>
    </r>
    <r>
      <rPr>
        <b/>
        <sz val="10"/>
        <color indexed="8"/>
        <rFont val="Arial"/>
        <family val="2"/>
      </rPr>
      <t>Autoriser</t>
    </r>
    <r>
      <rPr>
        <sz val="10"/>
        <color indexed="8"/>
        <rFont val="Arial"/>
        <family val="2"/>
      </rPr>
      <t xml:space="preserve"> , choisissez </t>
    </r>
    <r>
      <rPr>
        <b/>
        <sz val="10"/>
        <color indexed="8"/>
        <rFont val="Arial"/>
        <family val="2"/>
      </rPr>
      <t>Liste</t>
    </r>
    <r>
      <rPr>
        <sz val="10"/>
        <color indexed="8"/>
        <rFont val="Arial"/>
        <family val="2"/>
      </rPr>
      <t xml:space="preserve"> dans le menu puis, sous la mention </t>
    </r>
    <r>
      <rPr>
        <b/>
        <sz val="10"/>
        <color indexed="8"/>
        <rFont val="Arial"/>
        <family val="2"/>
      </rPr>
      <t>Source</t>
    </r>
    <r>
      <rPr>
        <sz val="10"/>
        <color indexed="8"/>
        <rFont val="Arial"/>
        <family val="2"/>
      </rPr>
      <t xml:space="preserve"> , entrez les termes que vous souhaitez voir figurer dans votre liste, en prenant bien soin de les séparer par un point-virgule. </t>
    </r>
  </si>
  <si>
    <r>
      <t xml:space="preserve">Validez ensuite en cliquant sur le bouton </t>
    </r>
    <r>
      <rPr>
        <b/>
        <sz val="10"/>
        <color indexed="8"/>
        <rFont val="Arial"/>
        <family val="2"/>
      </rPr>
      <t>OK.</t>
    </r>
    <r>
      <rPr>
        <sz val="10"/>
        <color indexed="8"/>
        <rFont val="Arial"/>
        <family val="2"/>
      </rPr>
      <t xml:space="preserve"> </t>
    </r>
  </si>
  <si>
    <t>Cliquez ici pour agrandir l'image</t>
  </si>
  <si>
    <t xml:space="preserve">  </t>
  </si>
  <si>
    <t>plateau</t>
  </si>
  <si>
    <t>pignon</t>
  </si>
  <si>
    <t>cadence</t>
  </si>
  <si>
    <t>vitesse</t>
  </si>
  <si>
    <t>Dvlpment</t>
  </si>
  <si>
    <t>Daniel CLERC modification Dermience andre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</si>
</sst>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quot;km/h&quot;"/>
    <numFmt numFmtId="165" formatCode="0.0&quot; m&quot;"/>
  </numFmts>
  <fonts count="29">
    <font>
      <sz val="10"/>
      <name val="Geneva"/>
    </font>
    <font>
      <i/>
      <sz val="10"/>
      <name val="Geneva"/>
    </font>
    <font>
      <sz val="10"/>
      <name val="Geneva"/>
    </font>
    <font>
      <sz val="8"/>
      <name val="Geneva"/>
    </font>
    <font>
      <sz val="12"/>
      <name val="Arial Narrow"/>
      <family val="2"/>
    </font>
    <font>
      <b/>
      <sz val="12"/>
      <name val="Arial Narrow"/>
      <family val="2"/>
    </font>
    <font>
      <i/>
      <sz val="12"/>
      <name val="Arial Narrow"/>
      <family val="2"/>
    </font>
    <font>
      <b/>
      <sz val="14"/>
      <name val="Arial Narrow"/>
      <family val="2"/>
    </font>
    <font>
      <b/>
      <i/>
      <sz val="12"/>
      <name val="Arial Narrow"/>
      <family val="2"/>
    </font>
    <font>
      <b/>
      <sz val="10"/>
      <name val="Arial Narrow"/>
      <family val="2"/>
    </font>
    <font>
      <b/>
      <sz val="11"/>
      <name val="Arial Narrow"/>
      <family val="2"/>
    </font>
    <font>
      <b/>
      <sz val="12"/>
      <name val="Arial"/>
      <family val="2"/>
    </font>
    <font>
      <sz val="12"/>
      <name val="Arial"/>
      <family val="2"/>
    </font>
    <font>
      <i/>
      <sz val="9"/>
      <name val="Arial Narrow"/>
      <family val="2"/>
    </font>
    <font>
      <sz val="14"/>
      <name val="Comic Sans MS"/>
      <family val="4"/>
    </font>
    <font>
      <b/>
      <sz val="20"/>
      <name val="Book Antiqua"/>
      <family val="1"/>
    </font>
    <font>
      <sz val="10"/>
      <name val="Geneva"/>
    </font>
    <font>
      <sz val="10"/>
      <name val="Geneva"/>
    </font>
    <font>
      <sz val="10"/>
      <name val="Geneva"/>
    </font>
    <font>
      <i/>
      <sz val="10"/>
      <name val="Arial"/>
      <family val="2"/>
    </font>
    <font>
      <sz val="11"/>
      <name val="Arial"/>
      <family val="2"/>
    </font>
    <font>
      <b/>
      <sz val="11"/>
      <name val="Arial"/>
      <family val="2"/>
    </font>
    <font>
      <sz val="11"/>
      <name val="Times New Roman"/>
      <family val="1"/>
    </font>
    <font>
      <b/>
      <sz val="15"/>
      <color indexed="8"/>
      <name val="Arial"/>
      <family val="2"/>
    </font>
    <font>
      <sz val="10"/>
      <color indexed="8"/>
      <name val="Arial"/>
      <family val="2"/>
    </font>
    <font>
      <b/>
      <sz val="10"/>
      <color indexed="8"/>
      <name val="Arial"/>
      <family val="2"/>
    </font>
    <font>
      <sz val="12"/>
      <color indexed="8"/>
      <name val="Times New Roman"/>
      <family val="1"/>
    </font>
    <font>
      <u/>
      <sz val="10"/>
      <color indexed="12"/>
      <name val="Geneva"/>
    </font>
    <font>
      <b/>
      <sz val="12"/>
      <color rgb="FFFF0000"/>
      <name val="Arial Narrow"/>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rgb="FFE9F797"/>
        <bgColor indexed="64"/>
      </patternFill>
    </fill>
    <fill>
      <patternFill patternType="solid">
        <fgColor rgb="FF33CCCC"/>
        <bgColor indexed="64"/>
      </patternFill>
    </fill>
    <fill>
      <patternFill patternType="solid">
        <fgColor theme="3" tint="0.59999389629810485"/>
        <bgColor indexed="64"/>
      </patternFill>
    </fill>
    <fill>
      <patternFill patternType="solid">
        <fgColor rgb="FFFFC00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7" fillId="0" borderId="0" applyNumberFormat="0" applyFill="0" applyBorder="0" applyAlignment="0" applyProtection="0">
      <alignment vertical="top"/>
      <protection locked="0"/>
    </xf>
  </cellStyleXfs>
  <cellXfs count="137">
    <xf numFmtId="0" fontId="0" fillId="0" borderId="0" xfId="0"/>
    <xf numFmtId="0" fontId="4" fillId="0" borderId="0" xfId="0" applyFont="1" applyAlignment="1">
      <alignment horizontal="right"/>
    </xf>
    <xf numFmtId="0" fontId="4" fillId="0" borderId="0" xfId="0" applyFont="1" applyAlignment="1">
      <alignment horizontal="center"/>
    </xf>
    <xf numFmtId="0" fontId="9" fillId="0" borderId="0" xfId="0" applyFont="1" applyAlignment="1">
      <alignment horizontal="center" vertical="center" wrapText="1"/>
    </xf>
    <xf numFmtId="0" fontId="5" fillId="0" borderId="0" xfId="0" applyFont="1" applyAlignment="1">
      <alignment horizontal="center"/>
    </xf>
    <xf numFmtId="0" fontId="4" fillId="0" borderId="0" xfId="0" applyFont="1" applyFill="1" applyBorder="1" applyAlignment="1">
      <alignment horizontal="center"/>
    </xf>
    <xf numFmtId="0" fontId="4" fillId="2" borderId="1" xfId="0" quotePrefix="1" applyFont="1" applyFill="1" applyBorder="1" applyAlignment="1">
      <alignment horizontal="center"/>
    </xf>
    <xf numFmtId="0" fontId="4" fillId="2" borderId="2" xfId="0" quotePrefix="1" applyFont="1" applyFill="1" applyBorder="1" applyAlignment="1">
      <alignment horizontal="center"/>
    </xf>
    <xf numFmtId="0" fontId="4" fillId="2" borderId="3" xfId="0" applyFont="1" applyFill="1" applyBorder="1" applyAlignment="1">
      <alignment horizontal="center"/>
    </xf>
    <xf numFmtId="0" fontId="4" fillId="2" borderId="4" xfId="0" quotePrefix="1" applyFont="1" applyFill="1" applyBorder="1" applyAlignment="1">
      <alignment horizontal="center"/>
    </xf>
    <xf numFmtId="0" fontId="4" fillId="2" borderId="5" xfId="0" quotePrefix="1" applyFont="1" applyFill="1" applyBorder="1" applyAlignment="1">
      <alignment horizontal="center"/>
    </xf>
    <xf numFmtId="0" fontId="4" fillId="2" borderId="6"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7" xfId="0" quotePrefix="1" applyFont="1" applyFill="1" applyBorder="1" applyAlignment="1">
      <alignment horizontal="center"/>
    </xf>
    <xf numFmtId="0" fontId="4" fillId="2" borderId="8" xfId="0" quotePrefix="1" applyFont="1" applyFill="1" applyBorder="1" applyAlignment="1">
      <alignment horizontal="center"/>
    </xf>
    <xf numFmtId="0" fontId="4" fillId="2" borderId="9" xfId="0" applyFont="1" applyFill="1" applyBorder="1" applyAlignment="1">
      <alignment horizont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right"/>
    </xf>
    <xf numFmtId="0" fontId="4" fillId="3" borderId="10"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0" borderId="13" xfId="0" applyFont="1" applyFill="1" applyBorder="1" applyAlignment="1" applyProtection="1">
      <alignment horizontal="right"/>
      <protection hidden="1"/>
    </xf>
    <xf numFmtId="0" fontId="4" fillId="0" borderId="14" xfId="0" applyFont="1" applyFill="1" applyBorder="1" applyAlignment="1" applyProtection="1">
      <alignment horizontal="center"/>
      <protection hidden="1"/>
    </xf>
    <xf numFmtId="0" fontId="4" fillId="0" borderId="15" xfId="0" applyFont="1" applyFill="1" applyBorder="1" applyAlignment="1" applyProtection="1">
      <alignment horizontal="center"/>
      <protection hidden="1"/>
    </xf>
    <xf numFmtId="0" fontId="4" fillId="0" borderId="16" xfId="0" applyFont="1" applyFill="1" applyBorder="1" applyAlignment="1" applyProtection="1">
      <alignment horizontal="right"/>
      <protection hidden="1"/>
    </xf>
    <xf numFmtId="0" fontId="14"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17" xfId="0" applyFont="1" applyFill="1" applyBorder="1" applyAlignment="1" applyProtection="1">
      <alignment horizontal="center"/>
      <protection hidden="1"/>
    </xf>
    <xf numFmtId="0" fontId="4" fillId="0" borderId="23" xfId="0" applyFont="1" applyFill="1" applyBorder="1" applyAlignment="1" applyProtection="1">
      <alignment horizontal="center"/>
      <protection hidden="1"/>
    </xf>
    <xf numFmtId="0" fontId="4" fillId="0" borderId="0" xfId="0" applyFont="1" applyFill="1" applyBorder="1" applyProtection="1">
      <protection hidden="1"/>
    </xf>
    <xf numFmtId="0" fontId="6" fillId="0" borderId="16" xfId="0" applyFont="1" applyFill="1" applyBorder="1" applyAlignment="1" applyProtection="1">
      <alignment horizontal="right" vertical="center"/>
      <protection hidden="1"/>
    </xf>
    <xf numFmtId="0" fontId="5" fillId="0" borderId="18"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protection hidden="1"/>
    </xf>
    <xf numFmtId="0" fontId="5" fillId="0" borderId="19"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8" fillId="0" borderId="4"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2" fontId="5" fillId="0" borderId="5" xfId="0" applyNumberFormat="1" applyFont="1" applyFill="1" applyBorder="1" applyAlignment="1" applyProtection="1">
      <alignment horizontal="center" vertical="center"/>
      <protection hidden="1"/>
    </xf>
    <xf numFmtId="9" fontId="5" fillId="0" borderId="6"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2" fontId="6" fillId="0" borderId="5" xfId="0" applyNumberFormat="1" applyFont="1" applyFill="1" applyBorder="1" applyAlignment="1" applyProtection="1">
      <alignment horizontal="center" vertical="center"/>
      <protection hidden="1"/>
    </xf>
    <xf numFmtId="9" fontId="6" fillId="0" borderId="6" xfId="0" applyNumberFormat="1"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2" fontId="6" fillId="0" borderId="8" xfId="0" applyNumberFormat="1" applyFont="1" applyFill="1" applyBorder="1" applyAlignment="1" applyProtection="1">
      <alignment horizontal="center" vertical="center"/>
      <protection hidden="1"/>
    </xf>
    <xf numFmtId="0" fontId="6" fillId="0" borderId="9" xfId="0" applyFont="1" applyFill="1" applyBorder="1" applyAlignment="1" applyProtection="1">
      <alignment horizontal="center"/>
      <protection hidden="1"/>
    </xf>
    <xf numFmtId="0" fontId="5" fillId="0" borderId="7"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2" fontId="5" fillId="0" borderId="8" xfId="0" applyNumberFormat="1" applyFont="1" applyFill="1" applyBorder="1" applyAlignment="1" applyProtection="1">
      <alignment horizontal="center" vertical="center"/>
      <protection hidden="1"/>
    </xf>
    <xf numFmtId="0" fontId="5" fillId="0" borderId="9" xfId="0" applyFont="1" applyFill="1" applyBorder="1" applyAlignment="1" applyProtection="1">
      <alignment horizontal="center"/>
      <protection hidden="1"/>
    </xf>
    <xf numFmtId="0" fontId="8" fillId="0" borderId="7"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4" fillId="0" borderId="22" xfId="0" applyFont="1" applyFill="1" applyBorder="1" applyAlignment="1" applyProtection="1">
      <alignment horizontal="right"/>
      <protection hidden="1"/>
    </xf>
    <xf numFmtId="0" fontId="4" fillId="0" borderId="24" xfId="0" applyFont="1" applyFill="1" applyBorder="1" applyAlignment="1" applyProtection="1">
      <alignment horizontal="center"/>
      <protection hidden="1"/>
    </xf>
    <xf numFmtId="0" fontId="2" fillId="0" borderId="0" xfId="0" applyFont="1"/>
    <xf numFmtId="0" fontId="15" fillId="0" borderId="0" xfId="0" applyFont="1" applyAlignment="1">
      <alignment horizontal="left" vertical="center" wrapText="1" indent="1"/>
    </xf>
    <xf numFmtId="0" fontId="16" fillId="0" borderId="0" xfId="0" applyFont="1"/>
    <xf numFmtId="0" fontId="17" fillId="0" borderId="0" xfId="0" applyFont="1"/>
    <xf numFmtId="0" fontId="18" fillId="0" borderId="0" xfId="0" applyFont="1"/>
    <xf numFmtId="0" fontId="17" fillId="0" borderId="0" xfId="0" applyFont="1" applyAlignment="1">
      <alignment horizontal="left" vertical="center" wrapText="1" indent="1"/>
    </xf>
    <xf numFmtId="0" fontId="16" fillId="0" borderId="0" xfId="0" applyFont="1" applyAlignment="1">
      <alignment horizontal="left" vertical="center" wrapText="1" indent="1"/>
    </xf>
    <xf numFmtId="0" fontId="1" fillId="4" borderId="0" xfId="0" applyFont="1" applyFill="1" applyAlignment="1">
      <alignment horizontal="left" vertical="center" wrapText="1" indent="1"/>
    </xf>
    <xf numFmtId="0" fontId="19" fillId="4" borderId="0" xfId="0" applyFont="1" applyFill="1" applyAlignment="1">
      <alignment horizontal="left" vertical="center" wrapText="1" indent="1"/>
    </xf>
    <xf numFmtId="0" fontId="20" fillId="5" borderId="25" xfId="0" applyFont="1" applyFill="1" applyBorder="1" applyAlignment="1">
      <alignment horizontal="left" vertical="center" wrapText="1" indent="1"/>
    </xf>
    <xf numFmtId="0" fontId="21" fillId="5" borderId="26" xfId="0" applyFont="1" applyFill="1" applyBorder="1" applyAlignment="1">
      <alignment horizontal="left" vertical="center" wrapText="1" indent="1"/>
    </xf>
    <xf numFmtId="0" fontId="22" fillId="5" borderId="26" xfId="0" applyFont="1" applyFill="1" applyBorder="1" applyAlignment="1">
      <alignment horizontal="left" vertical="center" wrapText="1" indent="1"/>
    </xf>
    <xf numFmtId="0" fontId="20" fillId="5" borderId="26" xfId="0" applyFont="1" applyFill="1" applyBorder="1" applyAlignment="1">
      <alignment horizontal="left" vertical="center" wrapText="1" indent="1"/>
    </xf>
    <xf numFmtId="0" fontId="20" fillId="5" borderId="27" xfId="0" applyFont="1" applyFill="1" applyBorder="1" applyAlignment="1">
      <alignment horizontal="left" vertical="center" wrapText="1" indent="1"/>
    </xf>
    <xf numFmtId="0" fontId="11" fillId="0" borderId="0" xfId="0" applyFont="1" applyAlignment="1">
      <alignment horizontal="left" vertical="center" wrapText="1" indent="1"/>
    </xf>
    <xf numFmtId="0" fontId="4" fillId="0" borderId="0" xfId="0" applyFont="1" applyAlignment="1">
      <alignment horizontal="left"/>
    </xf>
    <xf numFmtId="0" fontId="23" fillId="0" borderId="0" xfId="0" applyFont="1"/>
    <xf numFmtId="0" fontId="24" fillId="0" borderId="0" xfId="0" applyFont="1"/>
    <xf numFmtId="0" fontId="26" fillId="0" borderId="0" xfId="0" applyFont="1" applyAlignment="1">
      <alignment wrapText="1"/>
    </xf>
    <xf numFmtId="0" fontId="27" fillId="0" borderId="0" xfId="1" applyAlignment="1" applyProtection="1">
      <alignment wrapText="1"/>
    </xf>
    <xf numFmtId="0" fontId="24" fillId="0" borderId="0" xfId="0" applyFont="1" applyAlignment="1">
      <alignment vertical="top" wrapText="1"/>
    </xf>
    <xf numFmtId="0" fontId="10" fillId="0" borderId="10" xfId="0" applyFont="1" applyFill="1" applyBorder="1" applyAlignment="1" applyProtection="1">
      <alignment horizontal="center" vertical="center"/>
      <protection hidden="1"/>
    </xf>
    <xf numFmtId="0" fontId="10" fillId="0" borderId="12"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protection hidden="1"/>
    </xf>
    <xf numFmtId="0" fontId="4" fillId="7" borderId="13" xfId="0" applyFont="1" applyFill="1" applyBorder="1" applyAlignment="1" applyProtection="1">
      <alignment horizontal="right"/>
      <protection hidden="1"/>
    </xf>
    <xf numFmtId="0" fontId="4" fillId="7" borderId="14" xfId="0" applyFont="1" applyFill="1" applyBorder="1" applyAlignment="1" applyProtection="1">
      <alignment horizontal="center"/>
      <protection hidden="1"/>
    </xf>
    <xf numFmtId="0" fontId="4" fillId="7" borderId="15" xfId="0" applyFont="1" applyFill="1" applyBorder="1" applyAlignment="1" applyProtection="1">
      <alignment horizontal="center"/>
      <protection hidden="1"/>
    </xf>
    <xf numFmtId="0" fontId="4" fillId="7" borderId="16" xfId="0" applyFont="1" applyFill="1" applyBorder="1" applyAlignment="1" applyProtection="1">
      <alignment horizontal="right"/>
      <protection hidden="1"/>
    </xf>
    <xf numFmtId="0" fontId="14" fillId="7" borderId="0" xfId="0" applyFont="1" applyFill="1" applyBorder="1" applyAlignment="1" applyProtection="1">
      <alignment horizontal="left"/>
      <protection hidden="1"/>
    </xf>
    <xf numFmtId="0" fontId="4" fillId="7" borderId="0" xfId="0" applyFont="1" applyFill="1" applyBorder="1" applyAlignment="1" applyProtection="1">
      <alignment horizontal="center"/>
      <protection hidden="1"/>
    </xf>
    <xf numFmtId="0" fontId="4" fillId="7" borderId="17" xfId="0" applyFont="1" applyFill="1" applyBorder="1" applyAlignment="1" applyProtection="1">
      <alignment horizontal="center"/>
      <protection hidden="1"/>
    </xf>
    <xf numFmtId="0" fontId="4" fillId="7" borderId="23" xfId="0" applyFont="1" applyFill="1" applyBorder="1" applyAlignment="1" applyProtection="1">
      <alignment horizontal="center"/>
      <protection hidden="1"/>
    </xf>
    <xf numFmtId="0" fontId="4" fillId="7" borderId="5" xfId="0" applyFont="1" applyFill="1" applyBorder="1" applyAlignment="1" applyProtection="1">
      <alignment horizontal="center" vertical="center"/>
      <protection hidden="1"/>
    </xf>
    <xf numFmtId="0" fontId="4" fillId="7" borderId="0" xfId="0" applyFont="1" applyFill="1" applyBorder="1" applyProtection="1">
      <protection hidden="1"/>
    </xf>
    <xf numFmtId="0" fontId="6" fillId="7" borderId="16" xfId="0" applyFont="1" applyFill="1" applyBorder="1" applyAlignment="1" applyProtection="1">
      <alignment horizontal="right" vertical="center"/>
      <protection hidden="1"/>
    </xf>
    <xf numFmtId="0" fontId="7" fillId="7" borderId="0" xfId="0" applyFont="1" applyFill="1" applyBorder="1" applyAlignment="1" applyProtection="1">
      <alignment horizontal="center" vertical="center"/>
      <protection hidden="1"/>
    </xf>
    <xf numFmtId="0" fontId="4" fillId="7" borderId="16"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7" borderId="4" xfId="0"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protection hidden="1"/>
    </xf>
    <xf numFmtId="2" fontId="5" fillId="7" borderId="5" xfId="0" applyNumberFormat="1" applyFont="1" applyFill="1" applyBorder="1" applyAlignment="1" applyProtection="1">
      <alignment horizontal="center" vertical="center"/>
      <protection hidden="1"/>
    </xf>
    <xf numFmtId="9" fontId="5" fillId="7" borderId="6" xfId="0" applyNumberFormat="1" applyFont="1" applyFill="1" applyBorder="1" applyAlignment="1" applyProtection="1">
      <alignment horizontal="center" vertical="center"/>
      <protection hidden="1"/>
    </xf>
    <xf numFmtId="0" fontId="4" fillId="7" borderId="0" xfId="0" applyFont="1" applyFill="1" applyBorder="1" applyAlignment="1" applyProtection="1">
      <alignment horizontal="center" vertical="center"/>
      <protection hidden="1"/>
    </xf>
    <xf numFmtId="0" fontId="6" fillId="7" borderId="4" xfId="0" applyFont="1" applyFill="1" applyBorder="1" applyAlignment="1" applyProtection="1">
      <alignment horizontal="center" vertical="center"/>
      <protection hidden="1"/>
    </xf>
    <xf numFmtId="0" fontId="6" fillId="7" borderId="5" xfId="0" applyFont="1" applyFill="1" applyBorder="1" applyAlignment="1" applyProtection="1">
      <alignment horizontal="center" vertical="center"/>
      <protection hidden="1"/>
    </xf>
    <xf numFmtId="2" fontId="6" fillId="7" borderId="5" xfId="0" applyNumberFormat="1" applyFont="1" applyFill="1" applyBorder="1" applyAlignment="1" applyProtection="1">
      <alignment horizontal="center" vertical="center"/>
      <protection hidden="1"/>
    </xf>
    <xf numFmtId="0" fontId="5" fillId="7" borderId="4" xfId="0" applyFont="1" applyFill="1" applyBorder="1" applyAlignment="1" applyProtection="1">
      <alignment horizontal="center" vertical="center"/>
      <protection hidden="1"/>
    </xf>
    <xf numFmtId="0" fontId="8" fillId="7" borderId="5" xfId="0" applyFont="1" applyFill="1" applyBorder="1" applyAlignment="1" applyProtection="1">
      <alignment horizontal="center" vertical="center"/>
      <protection hidden="1"/>
    </xf>
    <xf numFmtId="9" fontId="6" fillId="7" borderId="6" xfId="0" applyNumberFormat="1" applyFont="1" applyFill="1" applyBorder="1" applyAlignment="1" applyProtection="1">
      <alignment horizontal="center" vertical="center"/>
      <protection hidden="1"/>
    </xf>
    <xf numFmtId="0" fontId="6" fillId="7" borderId="7" xfId="0" applyFont="1" applyFill="1" applyBorder="1" applyAlignment="1" applyProtection="1">
      <alignment horizontal="center" vertical="center"/>
      <protection hidden="1"/>
    </xf>
    <xf numFmtId="0" fontId="6" fillId="7" borderId="8" xfId="0" applyFont="1" applyFill="1" applyBorder="1" applyAlignment="1" applyProtection="1">
      <alignment horizontal="center" vertical="center"/>
      <protection hidden="1"/>
    </xf>
    <xf numFmtId="2" fontId="6" fillId="7" borderId="8" xfId="0" applyNumberFormat="1" applyFont="1" applyFill="1" applyBorder="1" applyAlignment="1" applyProtection="1">
      <alignment horizontal="center" vertical="center"/>
      <protection hidden="1"/>
    </xf>
    <xf numFmtId="0" fontId="6" fillId="7" borderId="9" xfId="0" applyFont="1" applyFill="1" applyBorder="1" applyAlignment="1" applyProtection="1">
      <alignment horizontal="center"/>
      <protection hidden="1"/>
    </xf>
    <xf numFmtId="0" fontId="5" fillId="7" borderId="7" xfId="0" applyFont="1" applyFill="1" applyBorder="1" applyAlignment="1" applyProtection="1">
      <alignment horizontal="center" vertical="center"/>
      <protection hidden="1"/>
    </xf>
    <xf numFmtId="0" fontId="5" fillId="7" borderId="8" xfId="0" applyFont="1" applyFill="1" applyBorder="1" applyAlignment="1" applyProtection="1">
      <alignment horizontal="center" vertical="center"/>
      <protection hidden="1"/>
    </xf>
    <xf numFmtId="2" fontId="5" fillId="7" borderId="8" xfId="0" applyNumberFormat="1" applyFont="1" applyFill="1" applyBorder="1" applyAlignment="1" applyProtection="1">
      <alignment horizontal="center" vertical="center"/>
      <protection hidden="1"/>
    </xf>
    <xf numFmtId="0" fontId="8" fillId="7" borderId="7" xfId="0" applyFont="1" applyFill="1" applyBorder="1" applyAlignment="1" applyProtection="1">
      <alignment horizontal="center" vertical="center"/>
      <protection hidden="1"/>
    </xf>
    <xf numFmtId="0" fontId="8" fillId="7" borderId="8" xfId="0" applyFont="1" applyFill="1" applyBorder="1" applyAlignment="1" applyProtection="1">
      <alignment horizontal="center" vertical="center"/>
      <protection hidden="1"/>
    </xf>
    <xf numFmtId="0" fontId="4" fillId="7" borderId="22" xfId="0" applyFont="1" applyFill="1" applyBorder="1" applyAlignment="1" applyProtection="1">
      <alignment horizontal="right"/>
      <protection hidden="1"/>
    </xf>
    <xf numFmtId="0" fontId="4" fillId="7" borderId="23" xfId="0" applyFont="1" applyFill="1" applyBorder="1" applyAlignment="1" applyProtection="1">
      <alignment horizontal="center"/>
      <protection hidden="1"/>
    </xf>
    <xf numFmtId="0" fontId="4" fillId="7" borderId="24" xfId="0" applyFont="1" applyFill="1" applyBorder="1" applyAlignment="1" applyProtection="1">
      <alignment horizontal="center"/>
      <protection hidden="1"/>
    </xf>
    <xf numFmtId="0" fontId="10" fillId="8" borderId="10" xfId="0" applyFont="1" applyFill="1" applyBorder="1" applyAlignment="1" applyProtection="1">
      <alignment horizontal="center" vertical="center"/>
      <protection hidden="1"/>
    </xf>
    <xf numFmtId="0" fontId="10" fillId="8" borderId="12" xfId="0" applyFont="1" applyFill="1" applyBorder="1" applyAlignment="1" applyProtection="1">
      <alignment horizontal="center" vertical="center"/>
      <protection hidden="1"/>
    </xf>
    <xf numFmtId="0" fontId="10" fillId="8" borderId="5" xfId="0" applyFont="1" applyFill="1" applyBorder="1" applyAlignment="1" applyProtection="1">
      <alignment vertical="center"/>
      <protection hidden="1"/>
    </xf>
    <xf numFmtId="0" fontId="4" fillId="8" borderId="5" xfId="0" applyFont="1" applyFill="1" applyBorder="1" applyAlignment="1" applyProtection="1">
      <alignment horizontal="center" vertical="center"/>
      <protection hidden="1"/>
    </xf>
    <xf numFmtId="0" fontId="4" fillId="9" borderId="5" xfId="0" applyFont="1" applyFill="1" applyBorder="1" applyAlignment="1" applyProtection="1">
      <alignment horizontal="center"/>
      <protection hidden="1"/>
    </xf>
    <xf numFmtId="164" fontId="28" fillId="9" borderId="5" xfId="0" applyNumberFormat="1" applyFont="1" applyFill="1" applyBorder="1" applyAlignment="1" applyProtection="1">
      <alignment horizontal="center"/>
      <protection hidden="1"/>
    </xf>
    <xf numFmtId="0" fontId="4" fillId="9" borderId="5" xfId="0" applyFont="1" applyFill="1" applyBorder="1" applyAlignment="1">
      <alignment horizontal="center"/>
    </xf>
    <xf numFmtId="165" fontId="28" fillId="9" borderId="5" xfId="0" applyNumberFormat="1" applyFont="1" applyFill="1" applyBorder="1" applyAlignment="1">
      <alignment horizontal="center"/>
    </xf>
    <xf numFmtId="2" fontId="5" fillId="6" borderId="5" xfId="0" applyNumberFormat="1" applyFont="1" applyFill="1" applyBorder="1" applyAlignment="1" applyProtection="1">
      <alignment horizontal="center" vertical="center"/>
      <protection hidden="1"/>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9F797"/>
      <color rgb="FF33CCCC"/>
      <color rgb="FF00CC66"/>
      <color rgb="FF00CC99"/>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http://www.01net.com/images/66735.gif.res_270-164.jpg" TargetMode="External"/><Relationship Id="rId1" Type="http://schemas.openxmlformats.org/officeDocument/2006/relationships/image" Target="../media/image2.gif"/><Relationship Id="rId5" Type="http://schemas.openxmlformats.org/officeDocument/2006/relationships/image" Target="http://www.01net.com/images/66736.gif" TargetMode="External"/><Relationship Id="rId4" Type="http://schemas.openxmlformats.org/officeDocument/2006/relationships/image" Target="http://www.01net.com/img/affiner_rec.gif"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1</xdr:row>
      <xdr:rowOff>47625</xdr:rowOff>
    </xdr:from>
    <xdr:to>
      <xdr:col>13</xdr:col>
      <xdr:colOff>466725</xdr:colOff>
      <xdr:row>8</xdr:row>
      <xdr:rowOff>134172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257175"/>
          <a:ext cx="2971800" cy="1705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20</xdr:row>
      <xdr:rowOff>19050</xdr:rowOff>
    </xdr:from>
    <xdr:to>
      <xdr:col>0</xdr:col>
      <xdr:colOff>3124200</xdr:colOff>
      <xdr:row>29</xdr:row>
      <xdr:rowOff>123825</xdr:rowOff>
    </xdr:to>
    <xdr:pic>
      <xdr:nvPicPr>
        <xdr:cNvPr id="4121" name="Picture 3" descr="http://www.01net.com/images/66735.gif.res_270-164.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09575" y="4067175"/>
          <a:ext cx="271462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xdr:row>
      <xdr:rowOff>0</xdr:rowOff>
    </xdr:from>
    <xdr:to>
      <xdr:col>0</xdr:col>
      <xdr:colOff>190500</xdr:colOff>
      <xdr:row>6</xdr:row>
      <xdr:rowOff>47625</xdr:rowOff>
    </xdr:to>
    <xdr:pic>
      <xdr:nvPicPr>
        <xdr:cNvPr id="4122" name="Picture 2" descr="http://www.01net.com/img/affiner_rec.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1743075"/>
          <a:ext cx="1905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9</xdr:row>
      <xdr:rowOff>0</xdr:rowOff>
    </xdr:from>
    <xdr:to>
      <xdr:col>0</xdr:col>
      <xdr:colOff>2428875</xdr:colOff>
      <xdr:row>17</xdr:row>
      <xdr:rowOff>152400</xdr:rowOff>
    </xdr:to>
    <xdr:pic>
      <xdr:nvPicPr>
        <xdr:cNvPr id="4123" name="Picture 1" descr="http://www.01net.com/images/66736.gif"/>
        <xdr:cNvPicPr>
          <a:picLocks noChangeAspect="1" noChangeArrowheads="1"/>
        </xdr:cNvPicPr>
      </xdr:nvPicPr>
      <xdr:blipFill>
        <a:blip xmlns:r="http://schemas.openxmlformats.org/officeDocument/2006/relationships" r:embed="rId1" r:link="rId5">
          <a:extLst>
            <a:ext uri="{28A0092B-C50C-407E-A947-70E740481C1C}">
              <a14:useLocalDpi xmlns:a14="http://schemas.microsoft.com/office/drawing/2010/main" val="0"/>
            </a:ext>
          </a:extLst>
        </a:blip>
        <a:srcRect/>
        <a:stretch>
          <a:fillRect/>
        </a:stretch>
      </xdr:blipFill>
      <xdr:spPr bwMode="auto">
        <a:xfrm>
          <a:off x="295275" y="2266950"/>
          <a:ext cx="21336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01net.com/images/66735.g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showGridLines="0" tabSelected="1" workbookViewId="0">
      <selection activeCell="N12" sqref="N12"/>
    </sheetView>
  </sheetViews>
  <sheetFormatPr baseColWidth="10" defaultRowHeight="15.75"/>
  <cols>
    <col min="1" max="1" width="3.42578125" style="2" customWidth="1"/>
    <col min="2" max="2" width="4.5703125" style="1" customWidth="1"/>
    <col min="3" max="14" width="7.5703125" style="2" customWidth="1"/>
    <col min="15" max="15" width="8.5703125" style="2" customWidth="1"/>
    <col min="16" max="16" width="9.42578125" style="2" customWidth="1"/>
    <col min="17" max="17" width="7.5703125" style="2" customWidth="1"/>
    <col min="18" max="18" width="9.5703125" style="2" bestFit="1" customWidth="1"/>
    <col min="19" max="19" width="7.5703125" style="2" customWidth="1"/>
    <col min="20" max="20" width="7" style="2" customWidth="1"/>
    <col min="21" max="21" width="3.140625" style="2" customWidth="1"/>
    <col min="22" max="24" width="9.28515625" style="2" hidden="1" customWidth="1"/>
    <col min="25" max="26" width="0" style="2" hidden="1" customWidth="1"/>
    <col min="27" max="16384" width="11.42578125" style="2"/>
  </cols>
  <sheetData>
    <row r="1" spans="2:24" ht="16.5" thickBot="1"/>
    <row r="2" spans="2:24" ht="15.75" customHeight="1">
      <c r="B2" s="89"/>
      <c r="C2" s="90"/>
      <c r="D2" s="90"/>
      <c r="E2" s="90"/>
      <c r="F2" s="90"/>
      <c r="G2" s="90"/>
      <c r="H2" s="90"/>
      <c r="I2" s="90"/>
      <c r="J2" s="90"/>
      <c r="K2" s="90"/>
      <c r="L2" s="90"/>
      <c r="M2" s="90"/>
      <c r="N2" s="90"/>
      <c r="O2" s="90"/>
      <c r="P2" s="90"/>
      <c r="Q2" s="90"/>
      <c r="R2" s="90"/>
      <c r="S2" s="90"/>
      <c r="T2" s="91"/>
      <c r="U2" s="5"/>
    </row>
    <row r="3" spans="2:24" ht="19.5" customHeight="1">
      <c r="B3" s="92"/>
      <c r="C3" s="93" t="s">
        <v>5</v>
      </c>
      <c r="D3" s="94"/>
      <c r="E3" s="94"/>
      <c r="F3" s="94"/>
      <c r="G3" s="94"/>
      <c r="H3" s="94"/>
      <c r="I3" s="94"/>
      <c r="J3" s="94"/>
      <c r="K3" s="94"/>
      <c r="L3" s="94"/>
      <c r="M3" s="94"/>
      <c r="N3" s="94"/>
      <c r="O3" s="94"/>
      <c r="P3" s="94"/>
      <c r="Q3" s="94"/>
      <c r="R3" s="94"/>
      <c r="S3" s="94"/>
      <c r="T3" s="95"/>
      <c r="U3" s="5"/>
    </row>
    <row r="4" spans="2:24" ht="16.5" customHeight="1" thickBot="1">
      <c r="B4" s="92"/>
      <c r="C4" s="96" t="s">
        <v>11</v>
      </c>
      <c r="D4" s="96"/>
      <c r="E4" s="94"/>
      <c r="F4" s="94"/>
      <c r="G4" s="94"/>
      <c r="H4" s="94"/>
      <c r="I4" s="94"/>
      <c r="J4" s="94"/>
      <c r="K4" s="94"/>
      <c r="L4" s="94"/>
      <c r="M4" s="94"/>
      <c r="N4" s="94"/>
      <c r="O4" s="97" t="s">
        <v>135</v>
      </c>
      <c r="P4" s="131">
        <v>45</v>
      </c>
      <c r="Q4" s="94"/>
      <c r="R4" s="94"/>
      <c r="S4" s="94"/>
      <c r="T4" s="95"/>
      <c r="U4" s="5"/>
      <c r="V4" s="1"/>
    </row>
    <row r="5" spans="2:24" ht="18" customHeight="1" thickBot="1">
      <c r="B5" s="92"/>
      <c r="C5" s="128" t="s">
        <v>28</v>
      </c>
      <c r="D5" s="129"/>
      <c r="E5" s="94"/>
      <c r="F5" s="94"/>
      <c r="G5" s="98"/>
      <c r="H5" s="98"/>
      <c r="I5" s="98"/>
      <c r="J5" s="98"/>
      <c r="K5" s="98"/>
      <c r="L5" s="98"/>
      <c r="M5" s="98"/>
      <c r="N5" s="98"/>
      <c r="O5" s="97" t="s">
        <v>136</v>
      </c>
      <c r="P5" s="131">
        <v>21</v>
      </c>
      <c r="Q5" s="98"/>
      <c r="R5" s="98"/>
      <c r="S5" s="98"/>
      <c r="T5" s="95"/>
      <c r="U5" s="5"/>
    </row>
    <row r="6" spans="2:24" ht="23.25" customHeight="1">
      <c r="B6" s="92"/>
      <c r="C6" s="93" t="s">
        <v>7</v>
      </c>
      <c r="D6" s="98"/>
      <c r="E6" s="98"/>
      <c r="F6" s="98"/>
      <c r="G6" s="98"/>
      <c r="H6" s="98"/>
      <c r="I6" s="98"/>
      <c r="J6" s="98"/>
      <c r="K6" s="98"/>
      <c r="L6" s="98"/>
      <c r="M6" s="98"/>
      <c r="N6" s="98"/>
      <c r="O6" s="97" t="s">
        <v>137</v>
      </c>
      <c r="P6" s="131">
        <v>80</v>
      </c>
      <c r="Q6" s="98"/>
      <c r="R6" s="98"/>
      <c r="S6" s="98"/>
      <c r="T6" s="95"/>
      <c r="U6" s="5"/>
    </row>
    <row r="7" spans="2:24" ht="16.5" customHeight="1" thickBot="1">
      <c r="B7" s="99"/>
      <c r="C7" s="94" t="s">
        <v>8</v>
      </c>
      <c r="D7" s="94"/>
      <c r="E7" s="94" t="s">
        <v>9</v>
      </c>
      <c r="F7" s="94"/>
      <c r="G7" s="94" t="s">
        <v>10</v>
      </c>
      <c r="H7" s="94"/>
      <c r="I7" s="94"/>
      <c r="J7" s="94"/>
      <c r="K7" s="94"/>
      <c r="L7" s="94"/>
      <c r="M7" s="94"/>
      <c r="N7" s="94"/>
      <c r="O7" s="94"/>
      <c r="P7" s="94"/>
      <c r="Q7" s="94"/>
      <c r="R7" s="94"/>
      <c r="S7" s="94"/>
      <c r="T7" s="95"/>
      <c r="U7" s="5"/>
    </row>
    <row r="8" spans="2:24" ht="18" customHeight="1" thickBot="1">
      <c r="B8" s="92"/>
      <c r="C8" s="128">
        <v>53</v>
      </c>
      <c r="D8" s="129"/>
      <c r="E8" s="128">
        <v>39</v>
      </c>
      <c r="F8" s="129"/>
      <c r="G8" s="128">
        <v>30</v>
      </c>
      <c r="H8" s="129"/>
      <c r="I8" s="94"/>
      <c r="J8" s="94"/>
      <c r="K8" s="94"/>
      <c r="L8" s="94"/>
      <c r="M8" s="94"/>
      <c r="N8" s="94"/>
      <c r="O8" s="134" t="s">
        <v>139</v>
      </c>
      <c r="P8" s="135">
        <f>circonférence*P4/P5</f>
        <v>4.5</v>
      </c>
      <c r="Q8" s="132" t="s">
        <v>138</v>
      </c>
      <c r="R8" s="133">
        <f>circonférence*P4/P5*P6*60/1000</f>
        <v>21.6</v>
      </c>
      <c r="S8" s="94"/>
      <c r="T8" s="95"/>
      <c r="U8" s="5"/>
      <c r="V8" s="20" t="str">
        <f>C5</f>
        <v>700x23c</v>
      </c>
      <c r="W8" s="21">
        <f>MATCH(C5,W12:W26,0)</f>
        <v>12</v>
      </c>
      <c r="X8" s="22">
        <f>CHOOSE(W8,X12,X13,X14,X15,X16,X17,X18,X19,X20,X21,X22,X23,X24,X25,X26)/1000</f>
        <v>2.1</v>
      </c>
    </row>
    <row r="9" spans="2:24" ht="23.25" customHeight="1">
      <c r="B9" s="92"/>
      <c r="C9" s="93" t="s">
        <v>6</v>
      </c>
      <c r="D9" s="94"/>
      <c r="E9" s="100"/>
      <c r="F9" s="94"/>
      <c r="G9" s="100"/>
      <c r="H9" s="94"/>
      <c r="I9" s="94"/>
      <c r="J9" s="94"/>
      <c r="K9" s="94"/>
      <c r="L9" s="94"/>
      <c r="M9" s="94"/>
      <c r="N9" s="94"/>
      <c r="O9" s="94"/>
      <c r="P9" s="94"/>
      <c r="Q9" s="94"/>
      <c r="R9" s="94"/>
      <c r="S9" s="94"/>
      <c r="T9" s="95"/>
      <c r="U9" s="5"/>
    </row>
    <row r="10" spans="2:24" ht="16.5" customHeight="1">
      <c r="B10" s="99"/>
      <c r="C10" s="94">
        <v>1</v>
      </c>
      <c r="D10" s="94">
        <v>2</v>
      </c>
      <c r="E10" s="94">
        <v>3</v>
      </c>
      <c r="F10" s="94">
        <v>4</v>
      </c>
      <c r="G10" s="94">
        <v>5</v>
      </c>
      <c r="H10" s="94">
        <v>6</v>
      </c>
      <c r="I10" s="94">
        <v>7</v>
      </c>
      <c r="J10" s="94">
        <v>8</v>
      </c>
      <c r="K10" s="94">
        <v>9</v>
      </c>
      <c r="L10" s="94">
        <v>10</v>
      </c>
      <c r="M10" s="94"/>
      <c r="N10" s="94"/>
      <c r="O10" s="94"/>
      <c r="P10" s="94"/>
      <c r="Q10" s="94"/>
      <c r="R10" s="94"/>
      <c r="S10" s="94"/>
      <c r="T10" s="95"/>
      <c r="U10" s="5"/>
    </row>
    <row r="11" spans="2:24" ht="18" customHeight="1" thickBot="1">
      <c r="B11" s="101"/>
      <c r="C11" s="130">
        <v>12</v>
      </c>
      <c r="D11" s="130">
        <v>13</v>
      </c>
      <c r="E11" s="130">
        <v>14</v>
      </c>
      <c r="F11" s="130">
        <v>15</v>
      </c>
      <c r="G11" s="130">
        <v>17</v>
      </c>
      <c r="H11" s="130">
        <v>19</v>
      </c>
      <c r="I11" s="130">
        <v>21</v>
      </c>
      <c r="J11" s="130">
        <v>23</v>
      </c>
      <c r="K11" s="130">
        <v>25</v>
      </c>
      <c r="L11" s="130">
        <v>29</v>
      </c>
      <c r="M11" s="94"/>
      <c r="N11" s="94"/>
      <c r="O11" s="94"/>
      <c r="P11" s="94"/>
      <c r="Q11" s="94"/>
      <c r="R11" s="94"/>
      <c r="S11" s="94"/>
      <c r="T11" s="95"/>
      <c r="U11" s="5"/>
      <c r="V11" s="4" t="s">
        <v>12</v>
      </c>
      <c r="W11" s="2" t="s">
        <v>40</v>
      </c>
      <c r="X11" s="2" t="s">
        <v>39</v>
      </c>
    </row>
    <row r="12" spans="2:24" ht="15.75" customHeight="1">
      <c r="B12" s="92"/>
      <c r="C12" s="94"/>
      <c r="D12" s="94"/>
      <c r="E12" s="94"/>
      <c r="F12" s="94"/>
      <c r="G12" s="94"/>
      <c r="H12" s="94"/>
      <c r="I12" s="94"/>
      <c r="J12" s="94"/>
      <c r="K12" s="94"/>
      <c r="L12" s="94"/>
      <c r="M12" s="94"/>
      <c r="N12" s="94"/>
      <c r="O12" s="94"/>
      <c r="P12" s="94"/>
      <c r="Q12" s="94"/>
      <c r="R12" s="94"/>
      <c r="S12" s="94"/>
      <c r="T12" s="95"/>
      <c r="U12" s="5"/>
      <c r="V12" s="6" t="s">
        <v>13</v>
      </c>
      <c r="W12" s="7" t="s">
        <v>14</v>
      </c>
      <c r="X12" s="8">
        <v>1270</v>
      </c>
    </row>
    <row r="13" spans="2:24" ht="15.75" customHeight="1">
      <c r="B13" s="92"/>
      <c r="C13" s="94"/>
      <c r="D13" s="94"/>
      <c r="E13" s="94"/>
      <c r="F13" s="94"/>
      <c r="G13" s="94"/>
      <c r="H13" s="94"/>
      <c r="I13" s="94"/>
      <c r="J13" s="94"/>
      <c r="K13" s="94"/>
      <c r="L13" s="94"/>
      <c r="M13" s="94"/>
      <c r="N13" s="94"/>
      <c r="O13" s="94"/>
      <c r="P13" s="94"/>
      <c r="Q13" s="94"/>
      <c r="R13" s="94"/>
      <c r="S13" s="94"/>
      <c r="T13" s="95"/>
      <c r="U13" s="5"/>
      <c r="V13" s="9" t="s">
        <v>15</v>
      </c>
      <c r="W13" s="10" t="s">
        <v>16</v>
      </c>
      <c r="X13" s="11">
        <v>1585</v>
      </c>
    </row>
    <row r="14" spans="2:24" ht="15.75" customHeight="1" thickBot="1">
      <c r="B14" s="92"/>
      <c r="C14" s="94"/>
      <c r="D14" s="94"/>
      <c r="E14" s="94"/>
      <c r="F14" s="94"/>
      <c r="G14" s="94"/>
      <c r="H14" s="94"/>
      <c r="I14" s="94"/>
      <c r="J14" s="94"/>
      <c r="K14" s="94"/>
      <c r="L14" s="94"/>
      <c r="M14" s="94"/>
      <c r="N14" s="94"/>
      <c r="O14" s="94"/>
      <c r="P14" s="94"/>
      <c r="Q14" s="94"/>
      <c r="R14" s="94"/>
      <c r="S14" s="94"/>
      <c r="T14" s="95"/>
      <c r="U14" s="5"/>
      <c r="V14" s="9" t="s">
        <v>17</v>
      </c>
      <c r="W14" s="10" t="s">
        <v>18</v>
      </c>
      <c r="X14" s="11">
        <v>1890</v>
      </c>
    </row>
    <row r="15" spans="2:24">
      <c r="B15" s="101"/>
      <c r="C15" s="102" t="s">
        <v>0</v>
      </c>
      <c r="D15" s="103" t="s">
        <v>4</v>
      </c>
      <c r="E15" s="103" t="s">
        <v>1</v>
      </c>
      <c r="F15" s="103" t="s">
        <v>2</v>
      </c>
      <c r="G15" s="104" t="s">
        <v>3</v>
      </c>
      <c r="H15" s="94"/>
      <c r="I15" s="102" t="s">
        <v>0</v>
      </c>
      <c r="J15" s="103" t="s">
        <v>4</v>
      </c>
      <c r="K15" s="103" t="s">
        <v>1</v>
      </c>
      <c r="L15" s="103" t="s">
        <v>2</v>
      </c>
      <c r="M15" s="104" t="s">
        <v>3</v>
      </c>
      <c r="N15" s="94"/>
      <c r="O15" s="102" t="s">
        <v>0</v>
      </c>
      <c r="P15" s="103" t="s">
        <v>4</v>
      </c>
      <c r="Q15" s="103" t="s">
        <v>1</v>
      </c>
      <c r="R15" s="103" t="s">
        <v>2</v>
      </c>
      <c r="S15" s="104" t="s">
        <v>3</v>
      </c>
      <c r="T15" s="95"/>
      <c r="U15" s="5"/>
      <c r="V15" s="12" t="s">
        <v>43</v>
      </c>
      <c r="W15" s="10" t="s">
        <v>41</v>
      </c>
      <c r="X15" s="11">
        <v>1880</v>
      </c>
    </row>
    <row r="16" spans="2:24">
      <c r="B16" s="101"/>
      <c r="C16" s="105">
        <f>IF(ISNUMBER(rl_1),IF(ISNUMBER(plateau_1),plateau_1,""),"")</f>
        <v>53</v>
      </c>
      <c r="D16" s="106">
        <f>IF(ISNUMBER(plateau_1),IF(ISNUMBER(rl_1),rl_1,""),"")</f>
        <v>12</v>
      </c>
      <c r="E16" s="136">
        <f t="shared" ref="E16:E25" si="0">IF(ISERR((C16/D16)*circonférence),"",C16/D16*circonférence)</f>
        <v>9.2750000000000004</v>
      </c>
      <c r="F16" s="107">
        <f>IF(ISERR(E16-E17),"",E16-E17)</f>
        <v>0.71346153846153904</v>
      </c>
      <c r="G16" s="108">
        <f>IF(ISERR(F16/E16),"",F16/E16)</f>
        <v>7.6923076923076983E-2</v>
      </c>
      <c r="H16" s="109"/>
      <c r="I16" s="110">
        <f>IF(ISNUMBER(rl_1),IF(ISNUMBER(plateau_2),plateau_2,""),"")</f>
        <v>39</v>
      </c>
      <c r="J16" s="111">
        <f>IF(ISNUMBER(plateau_2),IF(ISNUMBER(rl_1),rl_1,""),"")</f>
        <v>12</v>
      </c>
      <c r="K16" s="136">
        <f t="shared" ref="K16:K25" si="1">IF(ISERR((I16/J16)*circonférence),"",I16/J16*circonférence)</f>
        <v>6.8250000000000002</v>
      </c>
      <c r="L16" s="112">
        <f>IF(ISERR(K16-K17),"",K16-K17)</f>
        <v>0.52499999999999947</v>
      </c>
      <c r="M16" s="108">
        <f>IF(ISERR(L16/K16),"",L16/K16)</f>
        <v>7.6923076923076844E-2</v>
      </c>
      <c r="N16" s="109"/>
      <c r="O16" s="110">
        <f>IF(ISNUMBER(rl_1),IF(ISNUMBER(plateau_3),plateau_3,""),"")</f>
        <v>30</v>
      </c>
      <c r="P16" s="111">
        <f>IF(ISNUMBER(plateau_3),IF(ISNUMBER(rl_1),rl_1,""),"")</f>
        <v>12</v>
      </c>
      <c r="Q16" s="136">
        <f t="shared" ref="Q16:Q25" si="2">IF(ISERR((O16/P16)*circonférence),"",O16/P16*circonférence)</f>
        <v>5.25</v>
      </c>
      <c r="R16" s="112">
        <f>IF(ISERR(Q16-Q17),"",Q16-Q17)</f>
        <v>0.40384615384615419</v>
      </c>
      <c r="S16" s="108">
        <f>IF(ISERR(R16/Q16),"",R16/Q16)</f>
        <v>7.6923076923076983E-2</v>
      </c>
      <c r="T16" s="95"/>
      <c r="U16" s="5"/>
      <c r="V16" s="9" t="s">
        <v>45</v>
      </c>
      <c r="W16" s="10" t="s">
        <v>37</v>
      </c>
      <c r="X16" s="11">
        <v>1913</v>
      </c>
    </row>
    <row r="17" spans="2:24">
      <c r="B17" s="101"/>
      <c r="C17" s="105">
        <f>IF(ISNUMBER(rl_2),IF(ISNUMBER(plateau_1),plateau_1,""),"")</f>
        <v>53</v>
      </c>
      <c r="D17" s="106">
        <f>IF(ISNUMBER(plateau_1),IF(ISNUMBER(rl_2),rl_2,""),"")</f>
        <v>13</v>
      </c>
      <c r="E17" s="136">
        <f t="shared" si="0"/>
        <v>8.5615384615384613</v>
      </c>
      <c r="F17" s="107">
        <f t="shared" ref="F17:F24" si="3">IF(ISERR(E17-E18),"",E17-E18)</f>
        <v>0.61153846153846114</v>
      </c>
      <c r="G17" s="108">
        <f t="shared" ref="G17:G24" si="4">IF(ISERR(F17/E17),"",F17/E17)</f>
        <v>7.1428571428571383E-2</v>
      </c>
      <c r="H17" s="109"/>
      <c r="I17" s="113">
        <f>IF(ISNUMBER(rl_2),IF(ISNUMBER(plateau_2),plateau_2,""),"")</f>
        <v>39</v>
      </c>
      <c r="J17" s="106">
        <f>IF(ISNUMBER(plateau_2),IF(ISNUMBER(rl_2),rl_2,""),"")</f>
        <v>13</v>
      </c>
      <c r="K17" s="136">
        <f t="shared" si="1"/>
        <v>6.3000000000000007</v>
      </c>
      <c r="L17" s="107">
        <f t="shared" ref="L17:L24" si="5">IF(ISERR(K17-K18),"",K17-K18)</f>
        <v>0.45000000000000107</v>
      </c>
      <c r="M17" s="108">
        <f t="shared" ref="M17:M24" si="6">IF(ISERR(L17/K17),"",L17/K17)</f>
        <v>7.1428571428571591E-2</v>
      </c>
      <c r="N17" s="109"/>
      <c r="O17" s="110">
        <f>IF(ISNUMBER(rl_2),IF(ISNUMBER(plateau_3),plateau_3,""),"")</f>
        <v>30</v>
      </c>
      <c r="P17" s="111">
        <f>IF(ISNUMBER(plateau_3),IF(ISNUMBER(rl_2),rl_2,""),"")</f>
        <v>13</v>
      </c>
      <c r="Q17" s="136">
        <f t="shared" si="2"/>
        <v>4.8461538461538458</v>
      </c>
      <c r="R17" s="112">
        <f t="shared" ref="R17:R24" si="7">IF(ISERR(Q17-Q18),"",Q17-Q18)</f>
        <v>0.34615384615384581</v>
      </c>
      <c r="S17" s="108">
        <f t="shared" ref="S17:S24" si="8">IF(ISERR(R17/Q17),"",R17/Q17)</f>
        <v>7.1428571428571369E-2</v>
      </c>
      <c r="T17" s="95"/>
      <c r="U17" s="5"/>
      <c r="V17" s="9" t="s">
        <v>20</v>
      </c>
      <c r="W17" s="10" t="s">
        <v>38</v>
      </c>
      <c r="X17" s="11">
        <v>1985</v>
      </c>
    </row>
    <row r="18" spans="2:24">
      <c r="B18" s="101"/>
      <c r="C18" s="105">
        <f>IF(ISNUMBER(rl_3),IF(ISNUMBER(plateau_1),plateau_1,""),"")</f>
        <v>53</v>
      </c>
      <c r="D18" s="106">
        <f>IF(ISNUMBER(plateau_1),IF(ISNUMBER(rl_3),rl_3,""),"")</f>
        <v>14</v>
      </c>
      <c r="E18" s="136">
        <f t="shared" si="0"/>
        <v>7.95</v>
      </c>
      <c r="F18" s="107">
        <f t="shared" si="3"/>
        <v>0.53000000000000025</v>
      </c>
      <c r="G18" s="108">
        <f t="shared" si="4"/>
        <v>6.6666666666666693E-2</v>
      </c>
      <c r="H18" s="109"/>
      <c r="I18" s="113">
        <f>IF(ISNUMBER(rl_3),IF(ISNUMBER(plateau_2),plateau_2,""),"")</f>
        <v>39</v>
      </c>
      <c r="J18" s="106">
        <f>IF(ISNUMBER(plateau_2),IF(ISNUMBER(rl_3),rl_3,""),"")</f>
        <v>14</v>
      </c>
      <c r="K18" s="136">
        <f t="shared" si="1"/>
        <v>5.85</v>
      </c>
      <c r="L18" s="107">
        <f t="shared" si="5"/>
        <v>0.38999999999999879</v>
      </c>
      <c r="M18" s="108">
        <f t="shared" si="6"/>
        <v>6.6666666666666458E-2</v>
      </c>
      <c r="N18" s="109"/>
      <c r="O18" s="110">
        <f>IF(ISNUMBER(rl_3),IF(ISNUMBER(plateau_3),plateau_3,""),"")</f>
        <v>30</v>
      </c>
      <c r="P18" s="111">
        <f>IF(ISNUMBER(plateau_3),IF(ISNUMBER(rl_3),rl_3,""),"")</f>
        <v>14</v>
      </c>
      <c r="Q18" s="136">
        <f t="shared" si="2"/>
        <v>4.5</v>
      </c>
      <c r="R18" s="112">
        <f t="shared" si="7"/>
        <v>0.29999999999999982</v>
      </c>
      <c r="S18" s="108">
        <f t="shared" si="8"/>
        <v>6.6666666666666624E-2</v>
      </c>
      <c r="T18" s="95"/>
      <c r="U18" s="5"/>
      <c r="V18" s="9" t="s">
        <v>21</v>
      </c>
      <c r="W18" s="10" t="s">
        <v>22</v>
      </c>
      <c r="X18" s="11">
        <v>2030</v>
      </c>
    </row>
    <row r="19" spans="2:24">
      <c r="B19" s="101"/>
      <c r="C19" s="105">
        <f>IF(ISNUMBER(rl_4),IF(ISNUMBER(plateau_1),plateau_1,""),"")</f>
        <v>53</v>
      </c>
      <c r="D19" s="106">
        <f>IF(ISNUMBER(plateau_1),IF(ISNUMBER(rl_4),rl_4,""),"")</f>
        <v>15</v>
      </c>
      <c r="E19" s="136">
        <f t="shared" si="0"/>
        <v>7.42</v>
      </c>
      <c r="F19" s="107">
        <f t="shared" si="3"/>
        <v>0.87294117647058744</v>
      </c>
      <c r="G19" s="108">
        <f t="shared" si="4"/>
        <v>0.11764705882352931</v>
      </c>
      <c r="H19" s="109"/>
      <c r="I19" s="113">
        <f>IF(ISNUMBER(rl_4),IF(ISNUMBER(plateau_2),plateau_2,""),"")</f>
        <v>39</v>
      </c>
      <c r="J19" s="106">
        <f>IF(ISNUMBER(plateau_2),IF(ISNUMBER(rl_4),rl_4,""),"")</f>
        <v>15</v>
      </c>
      <c r="K19" s="136">
        <f t="shared" si="1"/>
        <v>5.4600000000000009</v>
      </c>
      <c r="L19" s="107">
        <f t="shared" si="5"/>
        <v>0.64235294117647168</v>
      </c>
      <c r="M19" s="108">
        <f t="shared" si="6"/>
        <v>0.11764705882352959</v>
      </c>
      <c r="N19" s="109"/>
      <c r="O19" s="110">
        <f>IF(ISNUMBER(rl_4),IF(ISNUMBER(plateau_3),plateau_3,""),"")</f>
        <v>30</v>
      </c>
      <c r="P19" s="111">
        <f>IF(ISNUMBER(plateau_3),IF(ISNUMBER(rl_4),rl_4,""),"")</f>
        <v>15</v>
      </c>
      <c r="Q19" s="136">
        <f t="shared" si="2"/>
        <v>4.2</v>
      </c>
      <c r="R19" s="112">
        <f t="shared" si="7"/>
        <v>0.49411764705882355</v>
      </c>
      <c r="S19" s="108">
        <f t="shared" si="8"/>
        <v>0.11764705882352941</v>
      </c>
      <c r="T19" s="95"/>
      <c r="U19" s="5"/>
      <c r="V19" s="9" t="s">
        <v>23</v>
      </c>
      <c r="W19" s="10" t="s">
        <v>24</v>
      </c>
      <c r="X19" s="11">
        <v>2055</v>
      </c>
    </row>
    <row r="20" spans="2:24">
      <c r="B20" s="101"/>
      <c r="C20" s="105">
        <f>IF(ISNUMBER(rl_5),IF(ISNUMBER(plateau_1),plateau_1,""),"")</f>
        <v>53</v>
      </c>
      <c r="D20" s="106">
        <f>IF(ISNUMBER(plateau_1),IF(ISNUMBER(rl_5),rl_5,""),"")</f>
        <v>17</v>
      </c>
      <c r="E20" s="136">
        <f t="shared" si="0"/>
        <v>6.5470588235294125</v>
      </c>
      <c r="F20" s="107">
        <f t="shared" si="3"/>
        <v>0.689164086687307</v>
      </c>
      <c r="G20" s="108">
        <f t="shared" si="4"/>
        <v>0.10526315789473691</v>
      </c>
      <c r="H20" s="109"/>
      <c r="I20" s="113">
        <f>IF(ISNUMBER(rl_5),IF(ISNUMBER(plateau_2),plateau_2,""),"")</f>
        <v>39</v>
      </c>
      <c r="J20" s="106">
        <f>IF(ISNUMBER(plateau_2),IF(ISNUMBER(rl_5),rl_5,""),"")</f>
        <v>17</v>
      </c>
      <c r="K20" s="136">
        <f t="shared" si="1"/>
        <v>4.8176470588235292</v>
      </c>
      <c r="L20" s="107">
        <f t="shared" si="5"/>
        <v>0.50712074303405519</v>
      </c>
      <c r="M20" s="108">
        <f t="shared" si="6"/>
        <v>0.10526315789473674</v>
      </c>
      <c r="N20" s="109"/>
      <c r="O20" s="105">
        <f>IF(ISNUMBER(rl_5),IF(ISNUMBER(plateau_3),plateau_3,""),"")</f>
        <v>30</v>
      </c>
      <c r="P20" s="114">
        <f>IF(ISNUMBER(plateau_3),IF(ISNUMBER(rl_5),rl_5,""),"")</f>
        <v>17</v>
      </c>
      <c r="Q20" s="136">
        <f t="shared" si="2"/>
        <v>3.7058823529411766</v>
      </c>
      <c r="R20" s="107">
        <f t="shared" si="7"/>
        <v>0.39009287925696601</v>
      </c>
      <c r="S20" s="108">
        <f t="shared" si="8"/>
        <v>0.10526315789473685</v>
      </c>
      <c r="T20" s="95"/>
      <c r="U20" s="5"/>
      <c r="V20" s="12" t="s">
        <v>19</v>
      </c>
      <c r="W20" s="13" t="s">
        <v>36</v>
      </c>
      <c r="X20" s="11">
        <v>1952</v>
      </c>
    </row>
    <row r="21" spans="2:24">
      <c r="B21" s="101"/>
      <c r="C21" s="105">
        <f>IF(ISNUMBER(rl_6),IF(ISNUMBER(plateau_1),plateau_1,""),"")</f>
        <v>53</v>
      </c>
      <c r="D21" s="106">
        <f>IF(ISNUMBER(plateau_1),IF(ISNUMBER(rl_6),rl_6,""),"")</f>
        <v>19</v>
      </c>
      <c r="E21" s="136">
        <f t="shared" si="0"/>
        <v>5.8578947368421055</v>
      </c>
      <c r="F21" s="107">
        <f t="shared" si="3"/>
        <v>0.55789473684210567</v>
      </c>
      <c r="G21" s="108">
        <f t="shared" si="4"/>
        <v>9.5238095238095302E-2</v>
      </c>
      <c r="H21" s="109"/>
      <c r="I21" s="113">
        <f>IF(ISNUMBER(rl_6),IF(ISNUMBER(plateau_2),plateau_2,""),"")</f>
        <v>39</v>
      </c>
      <c r="J21" s="106">
        <f>IF(ISNUMBER(plateau_2),IF(ISNUMBER(rl_6),rl_6,""),"")</f>
        <v>19</v>
      </c>
      <c r="K21" s="136">
        <f t="shared" si="1"/>
        <v>4.310526315789474</v>
      </c>
      <c r="L21" s="107">
        <f t="shared" si="5"/>
        <v>0.41052631578947363</v>
      </c>
      <c r="M21" s="108">
        <f t="shared" si="6"/>
        <v>9.5238095238095219E-2</v>
      </c>
      <c r="N21" s="109"/>
      <c r="O21" s="105">
        <f>IF(ISNUMBER(rl_6),IF(ISNUMBER(plateau_3),plateau_3,""),"")</f>
        <v>30</v>
      </c>
      <c r="P21" s="114">
        <f>IF(ISNUMBER(plateau_3),IF(ISNUMBER(rl_6),rl_6,""),"")</f>
        <v>19</v>
      </c>
      <c r="Q21" s="136">
        <f t="shared" si="2"/>
        <v>3.3157894736842106</v>
      </c>
      <c r="R21" s="107">
        <f t="shared" si="7"/>
        <v>0.31578947368421062</v>
      </c>
      <c r="S21" s="108">
        <f t="shared" si="8"/>
        <v>9.5238095238095261E-2</v>
      </c>
      <c r="T21" s="95"/>
      <c r="U21" s="5"/>
      <c r="V21" s="12" t="s">
        <v>44</v>
      </c>
      <c r="W21" s="13" t="s">
        <v>35</v>
      </c>
      <c r="X21" s="11">
        <v>2040</v>
      </c>
    </row>
    <row r="22" spans="2:24">
      <c r="B22" s="101"/>
      <c r="C22" s="105">
        <f>IF(ISNUMBER(rl_7),IF(ISNUMBER(plateau_1),plateau_1,""),"")</f>
        <v>53</v>
      </c>
      <c r="D22" s="106">
        <f>IF(ISNUMBER(plateau_1),IF(ISNUMBER(rl_7),rl_7,""),"")</f>
        <v>21</v>
      </c>
      <c r="E22" s="136">
        <f t="shared" si="0"/>
        <v>5.3</v>
      </c>
      <c r="F22" s="107">
        <f t="shared" si="3"/>
        <v>0.46086956521739086</v>
      </c>
      <c r="G22" s="108">
        <f t="shared" si="4"/>
        <v>8.6956521739130349E-2</v>
      </c>
      <c r="H22" s="109"/>
      <c r="I22" s="113">
        <f>IF(ISNUMBER(rl_7),IF(ISNUMBER(plateau_2),plateau_2,""),"")</f>
        <v>39</v>
      </c>
      <c r="J22" s="106">
        <f>IF(ISNUMBER(plateau_2),IF(ISNUMBER(rl_7),rl_7,""),"")</f>
        <v>21</v>
      </c>
      <c r="K22" s="136">
        <f t="shared" si="1"/>
        <v>3.9000000000000004</v>
      </c>
      <c r="L22" s="107">
        <f t="shared" si="5"/>
        <v>0.33913043478260896</v>
      </c>
      <c r="M22" s="108">
        <f t="shared" si="6"/>
        <v>8.6956521739130488E-2</v>
      </c>
      <c r="N22" s="109"/>
      <c r="O22" s="105">
        <f>IF(ISNUMBER(rl_7),IF(ISNUMBER(plateau_3),plateau_3,""),"")</f>
        <v>30</v>
      </c>
      <c r="P22" s="114">
        <f>IF(ISNUMBER(plateau_3),IF(ISNUMBER(rl_7),rl_7,""),"")</f>
        <v>21</v>
      </c>
      <c r="Q22" s="136">
        <f t="shared" si="2"/>
        <v>3</v>
      </c>
      <c r="R22" s="107">
        <f t="shared" si="7"/>
        <v>0.26086956521739113</v>
      </c>
      <c r="S22" s="108">
        <f t="shared" si="8"/>
        <v>8.6956521739130377E-2</v>
      </c>
      <c r="T22" s="95"/>
      <c r="U22" s="5"/>
      <c r="V22" s="9" t="s">
        <v>25</v>
      </c>
      <c r="W22" s="10" t="s">
        <v>26</v>
      </c>
      <c r="X22" s="11">
        <v>2086</v>
      </c>
    </row>
    <row r="23" spans="2:24">
      <c r="B23" s="101"/>
      <c r="C23" s="110">
        <f>IF(ISNUMBER(rl_8),IF(ISNUMBER(plateau_1),plateau_1,""),"")</f>
        <v>53</v>
      </c>
      <c r="D23" s="111">
        <f>IF(ISNUMBER(plateau_1),IF(ISNUMBER(rl_8),rl_8,""),"")</f>
        <v>23</v>
      </c>
      <c r="E23" s="112">
        <f t="shared" si="0"/>
        <v>4.839130434782609</v>
      </c>
      <c r="F23" s="112">
        <f t="shared" si="3"/>
        <v>0.38713043478260811</v>
      </c>
      <c r="G23" s="115">
        <f t="shared" si="4"/>
        <v>7.9999999999999877E-2</v>
      </c>
      <c r="H23" s="109"/>
      <c r="I23" s="113">
        <f>IF(ISNUMBER(rl_8),IF(ISNUMBER(plateau_2),plateau_2,""),"")</f>
        <v>39</v>
      </c>
      <c r="J23" s="106">
        <f>IF(ISNUMBER(plateau_2),IF(ISNUMBER(rl_8),rl_8,""),"")</f>
        <v>23</v>
      </c>
      <c r="K23" s="112">
        <f t="shared" si="1"/>
        <v>3.5608695652173914</v>
      </c>
      <c r="L23" s="107">
        <f t="shared" si="5"/>
        <v>0.28486956521739115</v>
      </c>
      <c r="M23" s="108">
        <f t="shared" si="6"/>
        <v>7.999999999999996E-2</v>
      </c>
      <c r="N23" s="109"/>
      <c r="O23" s="105">
        <f>IF(ISNUMBER(rl_8),IF(ISNUMBER(plateau_3),plateau_3,""),"")</f>
        <v>30</v>
      </c>
      <c r="P23" s="114">
        <f>IF(ISNUMBER(plateau_3),IF(ISNUMBER(rl_8),rl_8,""),"")</f>
        <v>23</v>
      </c>
      <c r="Q23" s="112">
        <f t="shared" si="2"/>
        <v>2.7391304347826089</v>
      </c>
      <c r="R23" s="107">
        <f t="shared" si="7"/>
        <v>0.21913043478260885</v>
      </c>
      <c r="S23" s="108">
        <f t="shared" si="8"/>
        <v>8.0000000000000057E-2</v>
      </c>
      <c r="T23" s="95"/>
      <c r="U23" s="5"/>
      <c r="V23" s="9" t="s">
        <v>27</v>
      </c>
      <c r="W23" s="10" t="s">
        <v>28</v>
      </c>
      <c r="X23" s="11">
        <v>2100</v>
      </c>
    </row>
    <row r="24" spans="2:24">
      <c r="B24" s="101"/>
      <c r="C24" s="110">
        <f>IF(ISNUMBER(rl_9),IF(ISNUMBER(plateau_1),plateau_1,""),"")</f>
        <v>53</v>
      </c>
      <c r="D24" s="111">
        <f>IF(ISNUMBER(plateau_1),IF(ISNUMBER(rl_9),rl_9,""),"")</f>
        <v>25</v>
      </c>
      <c r="E24" s="112">
        <f t="shared" si="0"/>
        <v>4.4520000000000008</v>
      </c>
      <c r="F24" s="112">
        <f t="shared" si="3"/>
        <v>0.61406896551724177</v>
      </c>
      <c r="G24" s="115">
        <f t="shared" si="4"/>
        <v>0.13793103448275867</v>
      </c>
      <c r="H24" s="109"/>
      <c r="I24" s="113">
        <f>IF(ISNUMBER(rl_9),IF(ISNUMBER(plateau_2),plateau_2,""),"")</f>
        <v>39</v>
      </c>
      <c r="J24" s="106">
        <f>IF(ISNUMBER(plateau_2),IF(ISNUMBER(rl_9),rl_9,""),"")</f>
        <v>25</v>
      </c>
      <c r="K24" s="112">
        <f t="shared" si="1"/>
        <v>3.2760000000000002</v>
      </c>
      <c r="L24" s="107">
        <f t="shared" si="5"/>
        <v>0.4518620689655175</v>
      </c>
      <c r="M24" s="108">
        <f t="shared" si="6"/>
        <v>0.1379310344827587</v>
      </c>
      <c r="N24" s="109"/>
      <c r="O24" s="105">
        <f>IF(ISNUMBER(rl_9),IF(ISNUMBER(plateau_3),plateau_3,""),"")</f>
        <v>30</v>
      </c>
      <c r="P24" s="114">
        <f>IF(ISNUMBER(plateau_3),IF(ISNUMBER(rl_9),rl_9,""),"")</f>
        <v>25</v>
      </c>
      <c r="Q24" s="112">
        <f t="shared" si="2"/>
        <v>2.52</v>
      </c>
      <c r="R24" s="107">
        <f t="shared" si="7"/>
        <v>0.34758620689655162</v>
      </c>
      <c r="S24" s="108">
        <f t="shared" si="8"/>
        <v>0.13793103448275859</v>
      </c>
      <c r="T24" s="95"/>
      <c r="U24" s="5"/>
      <c r="V24" s="9" t="s">
        <v>29</v>
      </c>
      <c r="W24" s="10" t="s">
        <v>30</v>
      </c>
      <c r="X24" s="11">
        <v>2105</v>
      </c>
    </row>
    <row r="25" spans="2:24" ht="16.5" thickBot="1">
      <c r="B25" s="92"/>
      <c r="C25" s="116">
        <f>IF(ISNUMBER(rl_10),IF(ISNUMBER(plateau_1),plateau_1,""),"")</f>
        <v>53</v>
      </c>
      <c r="D25" s="117">
        <f>IF(ISNUMBER(plateau_1),IF(ISNUMBER(rl_10),rl_10,""),"")</f>
        <v>29</v>
      </c>
      <c r="E25" s="118">
        <f t="shared" si="0"/>
        <v>3.8379310344827591</v>
      </c>
      <c r="F25" s="118"/>
      <c r="G25" s="119"/>
      <c r="H25" s="94"/>
      <c r="I25" s="120">
        <f>IF(ISNUMBER(rl_10),IF(ISNUMBER(plateau_2),plateau_2,""),"")</f>
        <v>39</v>
      </c>
      <c r="J25" s="121">
        <f>IF(ISNUMBER(plateau_2),IF(ISNUMBER(rl_10),rl_10,""),"")</f>
        <v>29</v>
      </c>
      <c r="K25" s="118">
        <f t="shared" si="1"/>
        <v>2.8241379310344827</v>
      </c>
      <c r="L25" s="122"/>
      <c r="M25" s="108"/>
      <c r="N25" s="94"/>
      <c r="O25" s="123">
        <f>IF(ISNUMBER(rl_10),IF(ISNUMBER(plateau_3),plateau_3,""),"")</f>
        <v>30</v>
      </c>
      <c r="P25" s="124">
        <f>IF(ISNUMBER(plateau_3),IF(ISNUMBER(rl_10),rl_10,""),"")</f>
        <v>29</v>
      </c>
      <c r="Q25" s="118">
        <f t="shared" si="2"/>
        <v>2.1724137931034484</v>
      </c>
      <c r="R25" s="122"/>
      <c r="S25" s="108"/>
      <c r="T25" s="95"/>
      <c r="U25" s="5"/>
      <c r="V25" s="9" t="s">
        <v>31</v>
      </c>
      <c r="W25" s="10" t="s">
        <v>32</v>
      </c>
      <c r="X25" s="11">
        <v>2136</v>
      </c>
    </row>
    <row r="26" spans="2:24" ht="16.5" thickBot="1">
      <c r="B26" s="125"/>
      <c r="C26" s="126"/>
      <c r="D26" s="126"/>
      <c r="E26" s="126"/>
      <c r="F26" s="126"/>
      <c r="G26" s="126"/>
      <c r="H26" s="126"/>
      <c r="I26" s="126"/>
      <c r="J26" s="126"/>
      <c r="K26" s="126"/>
      <c r="L26" s="126"/>
      <c r="M26" s="126"/>
      <c r="N26" s="126"/>
      <c r="O26" s="126"/>
      <c r="P26" s="126"/>
      <c r="Q26" s="126"/>
      <c r="R26" s="126"/>
      <c r="S26" s="126"/>
      <c r="T26" s="127"/>
      <c r="U26" s="5"/>
      <c r="V26" s="14" t="s">
        <v>33</v>
      </c>
      <c r="W26" s="15" t="s">
        <v>34</v>
      </c>
      <c r="X26" s="16">
        <v>2155</v>
      </c>
    </row>
    <row r="27" spans="2:24">
      <c r="T27" s="19" t="s">
        <v>140</v>
      </c>
    </row>
    <row r="30" spans="2:24" ht="19.5" customHeight="1">
      <c r="F30" s="3"/>
    </row>
    <row r="31" spans="2:24" ht="19.5" customHeight="1">
      <c r="F31" s="3"/>
    </row>
    <row r="32" spans="2:24" ht="19.5" customHeight="1">
      <c r="F32" s="3"/>
    </row>
    <row r="33" spans="3:6" ht="19.5" customHeight="1">
      <c r="F33" s="3"/>
    </row>
    <row r="34" spans="3:6" ht="19.5" customHeight="1">
      <c r="F34" s="3"/>
    </row>
    <row r="35" spans="3:6" ht="19.5" customHeight="1">
      <c r="F35" s="3"/>
    </row>
    <row r="36" spans="3:6" ht="19.5" customHeight="1">
      <c r="F36" s="3"/>
    </row>
    <row r="37" spans="3:6" ht="19.5" customHeight="1">
      <c r="F37" s="3"/>
    </row>
    <row r="38" spans="3:6" ht="19.5" customHeight="1">
      <c r="F38" s="3"/>
    </row>
    <row r="39" spans="3:6" ht="19.5" customHeight="1">
      <c r="F39" s="3"/>
    </row>
    <row r="40" spans="3:6" ht="19.5" customHeight="1">
      <c r="F40" s="3"/>
    </row>
    <row r="41" spans="3:6" ht="19.5" customHeight="1">
      <c r="F41" s="3"/>
    </row>
    <row r="42" spans="3:6" ht="19.5" customHeight="1">
      <c r="F42" s="3"/>
    </row>
    <row r="43" spans="3:6" ht="19.5" customHeight="1">
      <c r="F43" s="3"/>
    </row>
    <row r="44" spans="3:6" ht="19.5" customHeight="1"/>
    <row r="45" spans="3:6" ht="19.5" customHeight="1">
      <c r="C45" s="1"/>
      <c r="D45" s="1"/>
    </row>
    <row r="46" spans="3:6" ht="19.5" customHeight="1"/>
    <row r="47" spans="3:6" ht="19.5" customHeight="1"/>
    <row r="48" spans="3:6" ht="19.5" customHeight="1"/>
    <row r="49" ht="19.5" customHeight="1"/>
    <row r="50" ht="19.5" customHeight="1"/>
    <row r="51" ht="19.5" customHeight="1"/>
  </sheetData>
  <protectedRanges>
    <protectedRange sqref="C5 C8 E8 G8 C11:L11 V12:X26" name="Plage1"/>
  </protectedRanges>
  <dataConsolidate/>
  <mergeCells count="5">
    <mergeCell ref="C5:D5"/>
    <mergeCell ref="C4:D4"/>
    <mergeCell ref="C8:D8"/>
    <mergeCell ref="E8:F8"/>
    <mergeCell ref="G8:H8"/>
  </mergeCells>
  <phoneticPr fontId="3" type="noConversion"/>
  <dataValidations count="14">
    <dataValidation type="list" allowBlank="1" showInputMessage="1" showErrorMessage="1" errorTitle="Erreur !" error="Saisissez des données correctes" promptTitle="Cliquez" prompt="sur le triangle" sqref="C8:D8">
      <formula1>"non,42,43,44,45,46,47,48,49,50,51,52,53,54,55,56"</formula1>
    </dataValidation>
    <dataValidation type="list" allowBlank="1" showInputMessage="1" showErrorMessage="1" errorTitle="Erreur !" error="Saisissez des données correctes" promptTitle="Cliquez" prompt="sur le triangle" sqref="E8">
      <formula1>"non,32,34,36,38,39,40,41,42,43,44,45,46"</formula1>
    </dataValidation>
    <dataValidation type="list" allowBlank="1" showInputMessage="1" showErrorMessage="1" errorTitle="Erreur !" error="Saisissez des données correctes" promptTitle="Cliquez" prompt="sur le triangle" sqref="G8">
      <formula1>"non,22,24,26,28,30,32,34,36"</formula1>
    </dataValidation>
    <dataValidation type="list" allowBlank="1" showInputMessage="1" showErrorMessage="1" errorTitle="Erreur !" error="Saisissez des données correctes" promptTitle="Cliquez" prompt="sur le triangle" sqref="C11">
      <formula1>"non,11,12,13,14,15,16"</formula1>
    </dataValidation>
    <dataValidation type="list" allowBlank="1" showInputMessage="1" showErrorMessage="1" errorTitle="Erreur !" error="Saisissez des données correctes" sqref="E11">
      <formula1>"non,13,14,15,16,17,18,19,20,21,22,23,24"</formula1>
    </dataValidation>
    <dataValidation type="list" allowBlank="1" showInputMessage="1" showErrorMessage="1" errorTitle="Erreur !" error="Saisissez des données correctes" sqref="D11">
      <formula1>"non,12,13,14,15,16,17,18,19"</formula1>
    </dataValidation>
    <dataValidation type="list" allowBlank="1" showInputMessage="1" showErrorMessage="1" errorTitle="Erreur !" error="Saisissez des données correctes" sqref="F11">
      <formula1>"non,14,15,16,17,18,19,20,21,22,23,24,25,26"</formula1>
    </dataValidation>
    <dataValidation type="list" allowBlank="1" showInputMessage="1" showErrorMessage="1" errorTitle="Erreur !" error="Saisissez des données correctes" sqref="J11">
      <formula1>"non,18,19,20,21,22,23,24,25,26,27,28,29,30"</formula1>
    </dataValidation>
    <dataValidation type="list" allowBlank="1" showInputMessage="1" showErrorMessage="1" errorTitle="Erreur !" error="Saisissez des données correctes" sqref="I11">
      <formula1>"non,17,18,19,20,21,22,23,24,26,27,28"</formula1>
    </dataValidation>
    <dataValidation type="list" allowBlank="1" showInputMessage="1" showErrorMessage="1" errorTitle="Erreur !" error="Saisissez des données correctes" sqref="H11">
      <formula1>"non,16,17,18,19,20,21,22,23,24,26,27,28"</formula1>
    </dataValidation>
    <dataValidation type="list" allowBlank="1" showInputMessage="1" showErrorMessage="1" errorTitle="erreur !" error="Saisissez des données correctes" sqref="G11">
      <formula1>"non,15,16,17,18,19,20,21,22,23,24,26,27,28"</formula1>
    </dataValidation>
    <dataValidation type="list" allowBlank="1" showInputMessage="1" showErrorMessage="1" errorTitle="erreur !" error="Saisissez des données correctes" sqref="K11">
      <formula1>"non,19,20,21,22,23,24,25,26,27,28,29,30,32"</formula1>
    </dataValidation>
    <dataValidation type="list" allowBlank="1" showInputMessage="1" showErrorMessage="1" errorTitle="Erreur !" error="Saisissez des données correctes" sqref="L11">
      <formula1>"non,20,21,22,23,24,25,26,27,28,29,30,32"</formula1>
    </dataValidation>
    <dataValidation type="list" errorStyle="information" allowBlank="1" showInputMessage="1" showErrorMessage="1" errorTitle="Erreur !" error="Saisissez des données correctes" promptTitle="Cliquez" prompt="sur le triangle" sqref="C5">
      <formula1>$W$12:$W$26</formula1>
    </dataValidation>
  </dataValidations>
  <printOptions horizontalCentered="1" verticalCentered="1"/>
  <pageMargins left="0.39370078740157483" right="0.78740157480314965" top="0.39370078740157483" bottom="0.39370078740157483" header="0.51181102362204722" footer="0.51181102362204722"/>
  <pageSetup paperSize="9" scale="97"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'braquets n&amp;b'!$C$11:$L$11</xm:f>
          </x14:formula1>
          <xm:sqref>P5</xm:sqref>
        </x14:dataValidation>
        <x14:dataValidation type="list" allowBlank="1" showInputMessage="1" showErrorMessage="1">
          <x14:formula1>
            <xm:f>'braquets n&amp;b'!$F$4:$AD$4</xm:f>
          </x14:formula1>
          <xm:sqref>P4</xm:sqref>
        </x14:dataValidation>
        <x14:dataValidation type="list" allowBlank="1" showInputMessage="1" showErrorMessage="1">
          <x14:formula1>
            <xm:f>'braquets n&amp;b'!$Y$6:$Y$24</xm:f>
          </x14:formula1>
          <xm:sqref>P6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1"/>
  <sheetViews>
    <sheetView showGridLines="0" topLeftCell="M1" workbookViewId="0">
      <selection activeCell="P6" sqref="P6"/>
    </sheetView>
  </sheetViews>
  <sheetFormatPr baseColWidth="10" defaultRowHeight="15.75"/>
  <cols>
    <col min="1" max="1" width="3.42578125" style="2" customWidth="1"/>
    <col min="2" max="2" width="4.5703125" style="1" customWidth="1"/>
    <col min="3" max="19" width="7.5703125" style="2" customWidth="1"/>
    <col min="20" max="20" width="7" style="2" customWidth="1"/>
    <col min="21" max="21" width="3.140625" style="2" customWidth="1"/>
    <col min="22" max="24" width="9.28515625" style="2" customWidth="1"/>
    <col min="25" max="16384" width="11.42578125" style="2"/>
  </cols>
  <sheetData>
    <row r="1" spans="2:30" ht="16.5" thickBot="1"/>
    <row r="2" spans="2:30" ht="15.75" customHeight="1">
      <c r="B2" s="23"/>
      <c r="C2" s="24"/>
      <c r="D2" s="24"/>
      <c r="E2" s="24"/>
      <c r="F2" s="24"/>
      <c r="G2" s="24"/>
      <c r="H2" s="24"/>
      <c r="I2" s="24"/>
      <c r="J2" s="24"/>
      <c r="K2" s="24"/>
      <c r="L2" s="24"/>
      <c r="M2" s="24"/>
      <c r="N2" s="24"/>
      <c r="O2" s="24"/>
      <c r="P2" s="24"/>
      <c r="Q2" s="24"/>
      <c r="R2" s="24"/>
      <c r="S2" s="24"/>
      <c r="T2" s="25"/>
      <c r="U2" s="5"/>
    </row>
    <row r="3" spans="2:30" ht="19.5" customHeight="1">
      <c r="B3" s="26"/>
      <c r="C3" s="27" t="s">
        <v>5</v>
      </c>
      <c r="D3" s="28"/>
      <c r="E3" s="28"/>
      <c r="F3" s="28"/>
      <c r="G3" s="28"/>
      <c r="H3" s="28"/>
      <c r="I3" s="28"/>
      <c r="J3" s="28"/>
      <c r="K3" s="28"/>
      <c r="L3" s="28"/>
      <c r="M3" s="28"/>
      <c r="N3" s="28"/>
      <c r="O3" s="28"/>
      <c r="P3" s="28"/>
      <c r="Q3" s="28"/>
      <c r="R3" s="28"/>
      <c r="S3" s="28"/>
      <c r="T3" s="29"/>
      <c r="U3" s="5"/>
    </row>
    <row r="4" spans="2:30" ht="16.5" customHeight="1" thickBot="1">
      <c r="B4" s="26"/>
      <c r="C4" s="88" t="s">
        <v>11</v>
      </c>
      <c r="D4" s="88"/>
      <c r="E4" s="28"/>
      <c r="F4" s="28" t="s">
        <v>42</v>
      </c>
      <c r="G4" s="28">
        <v>30</v>
      </c>
      <c r="H4" s="28">
        <v>31</v>
      </c>
      <c r="I4" s="28">
        <v>32</v>
      </c>
      <c r="J4" s="28">
        <v>33</v>
      </c>
      <c r="K4" s="28">
        <v>34</v>
      </c>
      <c r="L4" s="28">
        <v>35</v>
      </c>
      <c r="M4" s="28">
        <v>36</v>
      </c>
      <c r="N4" s="28">
        <v>37</v>
      </c>
      <c r="O4" s="28">
        <v>38</v>
      </c>
      <c r="P4" s="28">
        <v>39</v>
      </c>
      <c r="Q4" s="28">
        <v>40</v>
      </c>
      <c r="R4" s="28">
        <v>41</v>
      </c>
      <c r="S4" s="28">
        <v>42</v>
      </c>
      <c r="T4" s="28">
        <v>43</v>
      </c>
      <c r="U4" s="28">
        <v>44</v>
      </c>
      <c r="V4" s="28">
        <v>45</v>
      </c>
      <c r="W4" s="28">
        <v>46</v>
      </c>
      <c r="X4" s="28">
        <v>47</v>
      </c>
      <c r="Y4" s="28">
        <v>48</v>
      </c>
      <c r="Z4" s="28">
        <v>49</v>
      </c>
      <c r="AA4" s="28">
        <v>50</v>
      </c>
      <c r="AB4" s="28">
        <v>51</v>
      </c>
      <c r="AC4" s="28">
        <v>52</v>
      </c>
      <c r="AD4" s="28">
        <v>53</v>
      </c>
    </row>
    <row r="5" spans="2:30" ht="18" customHeight="1" thickBot="1">
      <c r="B5" s="26"/>
      <c r="C5" s="86" t="s">
        <v>28</v>
      </c>
      <c r="D5" s="87"/>
      <c r="E5" s="28"/>
      <c r="F5" s="28"/>
      <c r="G5" s="31"/>
      <c r="H5" s="31"/>
      <c r="I5" s="31"/>
      <c r="J5" s="31"/>
      <c r="K5" s="31"/>
      <c r="L5" s="31"/>
      <c r="M5" s="31"/>
      <c r="N5" s="31"/>
      <c r="O5" s="31"/>
      <c r="P5" s="31"/>
      <c r="Q5" s="31"/>
      <c r="R5" s="31"/>
      <c r="S5" s="31"/>
      <c r="T5" s="29"/>
      <c r="U5" s="5"/>
    </row>
    <row r="6" spans="2:30" ht="23.25" customHeight="1">
      <c r="B6" s="26"/>
      <c r="C6" s="27" t="s">
        <v>7</v>
      </c>
      <c r="D6" s="31"/>
      <c r="E6" s="31"/>
      <c r="F6" s="31"/>
      <c r="G6" s="31"/>
      <c r="H6" s="31"/>
      <c r="I6" s="31"/>
      <c r="J6" s="31"/>
      <c r="K6" s="31"/>
      <c r="L6" s="31"/>
      <c r="M6" s="31"/>
      <c r="N6" s="31"/>
      <c r="O6" s="31"/>
      <c r="P6" s="31"/>
      <c r="Q6" s="31"/>
      <c r="R6" s="31"/>
      <c r="S6" s="31"/>
      <c r="T6" s="29"/>
      <c r="U6" s="5"/>
      <c r="Y6" s="2">
        <v>40</v>
      </c>
    </row>
    <row r="7" spans="2:30" ht="16.5" customHeight="1" thickBot="1">
      <c r="B7" s="32"/>
      <c r="C7" s="28" t="s">
        <v>8</v>
      </c>
      <c r="D7" s="28"/>
      <c r="E7" s="28" t="s">
        <v>9</v>
      </c>
      <c r="F7" s="28"/>
      <c r="G7" s="28" t="s">
        <v>10</v>
      </c>
      <c r="H7" s="28"/>
      <c r="I7" s="28"/>
      <c r="J7" s="28"/>
      <c r="K7" s="28"/>
      <c r="L7" s="28"/>
      <c r="M7" s="28"/>
      <c r="N7" s="28"/>
      <c r="O7" s="28"/>
      <c r="P7" s="28"/>
      <c r="Q7" s="28"/>
      <c r="R7" s="28"/>
      <c r="S7" s="28"/>
      <c r="T7" s="29"/>
      <c r="U7" s="5"/>
      <c r="Y7" s="2">
        <v>45</v>
      </c>
    </row>
    <row r="8" spans="2:30" ht="18" customHeight="1" thickBot="1">
      <c r="B8" s="26"/>
      <c r="C8" s="33">
        <v>52</v>
      </c>
      <c r="D8" s="28"/>
      <c r="E8" s="33">
        <v>39</v>
      </c>
      <c r="F8" s="28"/>
      <c r="G8" s="33">
        <v>30</v>
      </c>
      <c r="H8" s="28"/>
      <c r="I8" s="28"/>
      <c r="J8" s="28"/>
      <c r="K8" s="28"/>
      <c r="L8" s="28"/>
      <c r="M8" s="28"/>
      <c r="N8" s="28"/>
      <c r="O8" s="28"/>
      <c r="P8" s="28"/>
      <c r="Q8" s="28"/>
      <c r="R8" s="28"/>
      <c r="S8" s="28"/>
      <c r="T8" s="29"/>
      <c r="U8" s="5"/>
      <c r="V8" s="20" t="str">
        <f>C5</f>
        <v>700x23c</v>
      </c>
      <c r="W8" s="21">
        <f>MATCH(C5,W12:W26,0)</f>
        <v>12</v>
      </c>
      <c r="X8" s="22">
        <f>CHOOSE(W8,X12,X13,X14,X15,X16,X17,X18,X19,X20,X21,X22,X23,X24,X25,X26)/1000</f>
        <v>2.1</v>
      </c>
      <c r="Y8" s="2">
        <v>50</v>
      </c>
    </row>
    <row r="9" spans="2:30" ht="23.25" customHeight="1">
      <c r="B9" s="26"/>
      <c r="C9" s="27" t="s">
        <v>6</v>
      </c>
      <c r="D9" s="28"/>
      <c r="E9" s="34"/>
      <c r="F9" s="28"/>
      <c r="G9" s="34"/>
      <c r="H9" s="28"/>
      <c r="I9" s="28"/>
      <c r="J9" s="28"/>
      <c r="K9" s="28"/>
      <c r="L9" s="28"/>
      <c r="M9" s="28"/>
      <c r="N9" s="28"/>
      <c r="O9" s="28"/>
      <c r="P9" s="28"/>
      <c r="Q9" s="28"/>
      <c r="R9" s="28"/>
      <c r="S9" s="28"/>
      <c r="T9" s="29"/>
      <c r="U9" s="5"/>
      <c r="Y9" s="2">
        <v>55</v>
      </c>
    </row>
    <row r="10" spans="2:30" ht="16.5" customHeight="1" thickBot="1">
      <c r="B10" s="32"/>
      <c r="C10" s="28">
        <v>1</v>
      </c>
      <c r="D10" s="28">
        <v>2</v>
      </c>
      <c r="E10" s="28">
        <v>3</v>
      </c>
      <c r="F10" s="28">
        <v>4</v>
      </c>
      <c r="G10" s="28">
        <v>5</v>
      </c>
      <c r="H10" s="28">
        <v>6</v>
      </c>
      <c r="I10" s="28">
        <v>7</v>
      </c>
      <c r="J10" s="28">
        <v>8</v>
      </c>
      <c r="K10" s="28">
        <v>9</v>
      </c>
      <c r="L10" s="28">
        <v>10</v>
      </c>
      <c r="M10" s="28"/>
      <c r="N10" s="28"/>
      <c r="O10" s="28"/>
      <c r="P10" s="28"/>
      <c r="Q10" s="28"/>
      <c r="R10" s="28"/>
      <c r="S10" s="28"/>
      <c r="T10" s="29"/>
      <c r="U10" s="5"/>
      <c r="Y10" s="2">
        <v>60</v>
      </c>
    </row>
    <row r="11" spans="2:30" ht="18" customHeight="1" thickBot="1">
      <c r="B11" s="35"/>
      <c r="C11" s="36">
        <v>12</v>
      </c>
      <c r="D11" s="37">
        <v>13</v>
      </c>
      <c r="E11" s="37">
        <v>14</v>
      </c>
      <c r="F11" s="37">
        <v>15</v>
      </c>
      <c r="G11" s="37">
        <v>17</v>
      </c>
      <c r="H11" s="37">
        <v>19</v>
      </c>
      <c r="I11" s="37">
        <v>21</v>
      </c>
      <c r="J11" s="37">
        <v>23</v>
      </c>
      <c r="K11" s="37">
        <v>25</v>
      </c>
      <c r="L11" s="38" t="s">
        <v>42</v>
      </c>
      <c r="M11" s="28"/>
      <c r="N11" s="28"/>
      <c r="O11" s="28"/>
      <c r="P11" s="28"/>
      <c r="Q11" s="28"/>
      <c r="R11" s="28"/>
      <c r="S11" s="28"/>
      <c r="T11" s="29"/>
      <c r="U11" s="5"/>
      <c r="V11" s="4" t="s">
        <v>12</v>
      </c>
      <c r="W11" s="2" t="s">
        <v>40</v>
      </c>
      <c r="X11" s="2" t="s">
        <v>39</v>
      </c>
      <c r="Y11" s="2">
        <v>65</v>
      </c>
    </row>
    <row r="12" spans="2:30" ht="15.75" customHeight="1">
      <c r="B12" s="26"/>
      <c r="C12" s="28"/>
      <c r="D12" s="28"/>
      <c r="E12" s="28"/>
      <c r="F12" s="28"/>
      <c r="G12" s="28"/>
      <c r="H12" s="28"/>
      <c r="I12" s="28"/>
      <c r="J12" s="28"/>
      <c r="K12" s="28"/>
      <c r="L12" s="28"/>
      <c r="M12" s="28"/>
      <c r="N12" s="28"/>
      <c r="O12" s="28"/>
      <c r="P12" s="28"/>
      <c r="Q12" s="28"/>
      <c r="R12" s="28"/>
      <c r="S12" s="28"/>
      <c r="T12" s="29"/>
      <c r="U12" s="5"/>
      <c r="V12" s="6" t="s">
        <v>13</v>
      </c>
      <c r="W12" s="7" t="s">
        <v>14</v>
      </c>
      <c r="X12" s="8">
        <v>1270</v>
      </c>
      <c r="Y12" s="2">
        <v>70</v>
      </c>
    </row>
    <row r="13" spans="2:30" ht="15.75" customHeight="1">
      <c r="B13" s="26"/>
      <c r="C13" s="28"/>
      <c r="D13" s="28"/>
      <c r="E13" s="28"/>
      <c r="F13" s="28"/>
      <c r="G13" s="28"/>
      <c r="H13" s="28"/>
      <c r="I13" s="28"/>
      <c r="J13" s="28"/>
      <c r="K13" s="28"/>
      <c r="L13" s="28"/>
      <c r="M13" s="28"/>
      <c r="N13" s="28"/>
      <c r="O13" s="28"/>
      <c r="P13" s="28"/>
      <c r="Q13" s="28"/>
      <c r="R13" s="28"/>
      <c r="S13" s="28"/>
      <c r="T13" s="29"/>
      <c r="U13" s="5"/>
      <c r="V13" s="9" t="s">
        <v>15</v>
      </c>
      <c r="W13" s="10" t="s">
        <v>16</v>
      </c>
      <c r="X13" s="11">
        <v>1585</v>
      </c>
      <c r="Y13" s="2">
        <v>75</v>
      </c>
    </row>
    <row r="14" spans="2:30" ht="15.75" customHeight="1" thickBot="1">
      <c r="B14" s="26"/>
      <c r="C14" s="28"/>
      <c r="D14" s="28"/>
      <c r="E14" s="28"/>
      <c r="F14" s="28"/>
      <c r="G14" s="28"/>
      <c r="H14" s="28"/>
      <c r="I14" s="28"/>
      <c r="J14" s="28"/>
      <c r="K14" s="28"/>
      <c r="L14" s="28"/>
      <c r="M14" s="28"/>
      <c r="N14" s="28"/>
      <c r="O14" s="28"/>
      <c r="P14" s="28"/>
      <c r="Q14" s="28"/>
      <c r="R14" s="28"/>
      <c r="S14" s="28"/>
      <c r="T14" s="29"/>
      <c r="U14" s="5"/>
      <c r="V14" s="9" t="s">
        <v>17</v>
      </c>
      <c r="W14" s="10" t="s">
        <v>18</v>
      </c>
      <c r="X14" s="11">
        <v>1890</v>
      </c>
      <c r="Y14" s="2">
        <v>80</v>
      </c>
    </row>
    <row r="15" spans="2:30">
      <c r="B15" s="35"/>
      <c r="C15" s="39" t="s">
        <v>0</v>
      </c>
      <c r="D15" s="40" t="s">
        <v>4</v>
      </c>
      <c r="E15" s="40" t="s">
        <v>1</v>
      </c>
      <c r="F15" s="40" t="s">
        <v>2</v>
      </c>
      <c r="G15" s="41" t="s">
        <v>3</v>
      </c>
      <c r="H15" s="28"/>
      <c r="I15" s="39" t="s">
        <v>0</v>
      </c>
      <c r="J15" s="40" t="s">
        <v>4</v>
      </c>
      <c r="K15" s="40" t="s">
        <v>1</v>
      </c>
      <c r="L15" s="40" t="s">
        <v>2</v>
      </c>
      <c r="M15" s="41" t="s">
        <v>3</v>
      </c>
      <c r="N15" s="28"/>
      <c r="O15" s="39" t="s">
        <v>0</v>
      </c>
      <c r="P15" s="40" t="s">
        <v>4</v>
      </c>
      <c r="Q15" s="40" t="s">
        <v>1</v>
      </c>
      <c r="R15" s="40" t="s">
        <v>2</v>
      </c>
      <c r="S15" s="41" t="s">
        <v>3</v>
      </c>
      <c r="T15" s="29"/>
      <c r="U15" s="5"/>
      <c r="V15" s="12" t="s">
        <v>43</v>
      </c>
      <c r="W15" s="10" t="s">
        <v>41</v>
      </c>
      <c r="X15" s="11">
        <v>1880</v>
      </c>
      <c r="Y15" s="2">
        <v>85</v>
      </c>
    </row>
    <row r="16" spans="2:30">
      <c r="B16" s="35"/>
      <c r="C16" s="42">
        <f>IF(ISNUMBER(rl_1),IF(ISNUMBER(plateau_1),plateau_1,""),"")</f>
        <v>52</v>
      </c>
      <c r="D16" s="43">
        <f>IF(ISNUMBER(plateau_1),IF(ISNUMBER(rl_1),rl_1,""),"")</f>
        <v>12</v>
      </c>
      <c r="E16" s="44">
        <f t="shared" ref="E16:E25" si="0">IF(ISERR((C16/D16)*circonférence),"",C16/D16*circonférence)</f>
        <v>9.1</v>
      </c>
      <c r="F16" s="44">
        <f>IF(ISERR(E16-E17),"",E16-E17)</f>
        <v>0.69999999999999929</v>
      </c>
      <c r="G16" s="45">
        <f>IF(ISERR(F16/E16),"",F16/E16)</f>
        <v>7.6923076923076844E-2</v>
      </c>
      <c r="H16" s="46"/>
      <c r="I16" s="47">
        <f>IF(ISNUMBER(rl_1),IF(ISNUMBER(plateau_2),plateau_2,""),"")</f>
        <v>39</v>
      </c>
      <c r="J16" s="48">
        <f>IF(ISNUMBER(plateau_2),IF(ISNUMBER(rl_1),rl_1,""),"")</f>
        <v>12</v>
      </c>
      <c r="K16" s="49">
        <f t="shared" ref="K16:K25" si="1">IF(ISERR((I16/J16)*circonférence),"",I16/J16*circonférence)</f>
        <v>6.8250000000000002</v>
      </c>
      <c r="L16" s="49">
        <f>IF(ISERR(K16-K17),"",K16-K17)</f>
        <v>0.52499999999999947</v>
      </c>
      <c r="M16" s="50">
        <f>IF(ISERR(L16/K16),"",L16/K16)</f>
        <v>7.6923076923076844E-2</v>
      </c>
      <c r="N16" s="46"/>
      <c r="O16" s="47">
        <f>IF(ISNUMBER(rl_1),IF(ISNUMBER(plateau_3),plateau_3,""),"")</f>
        <v>30</v>
      </c>
      <c r="P16" s="48">
        <f>IF(ISNUMBER(plateau_3),IF(ISNUMBER(rl_1),rl_1,""),"")</f>
        <v>12</v>
      </c>
      <c r="Q16" s="49">
        <f t="shared" ref="Q16:Q25" si="2">IF(ISERR((O16/P16)*circonférence),"",O16/P16*circonférence)</f>
        <v>5.25</v>
      </c>
      <c r="R16" s="49">
        <f>IF(ISERR(Q16-Q17),"",Q16-Q17)</f>
        <v>0.40384615384615419</v>
      </c>
      <c r="S16" s="50">
        <f>IF(ISERR(R16/Q16),"",R16/Q16)</f>
        <v>7.6923076923076983E-2</v>
      </c>
      <c r="T16" s="29"/>
      <c r="U16" s="5"/>
      <c r="V16" s="9" t="s">
        <v>45</v>
      </c>
      <c r="W16" s="10" t="s">
        <v>37</v>
      </c>
      <c r="X16" s="11">
        <v>1913</v>
      </c>
      <c r="Y16" s="2">
        <v>90</v>
      </c>
    </row>
    <row r="17" spans="2:25">
      <c r="B17" s="35"/>
      <c r="C17" s="42">
        <f>IF(ISNUMBER(rl_2),IF(ISNUMBER(plateau_1),plateau_1,""),"")</f>
        <v>52</v>
      </c>
      <c r="D17" s="43">
        <f>IF(ISNUMBER(plateau_1),IF(ISNUMBER(rl_2),rl_2,""),"")</f>
        <v>13</v>
      </c>
      <c r="E17" s="44">
        <f t="shared" si="0"/>
        <v>8.4</v>
      </c>
      <c r="F17" s="44">
        <f t="shared" ref="F17:F24" si="3">IF(ISERR(E17-E18),"",E17-E18)</f>
        <v>0.59999999999999964</v>
      </c>
      <c r="G17" s="45">
        <f t="shared" ref="G17:G24" si="4">IF(ISERR(F17/E17),"",F17/E17)</f>
        <v>7.1428571428571383E-2</v>
      </c>
      <c r="H17" s="46"/>
      <c r="I17" s="51">
        <f>IF(ISNUMBER(rl_2),IF(ISNUMBER(plateau_2),plateau_2,""),"")</f>
        <v>39</v>
      </c>
      <c r="J17" s="43">
        <f>IF(ISNUMBER(plateau_2),IF(ISNUMBER(rl_2),rl_2,""),"")</f>
        <v>13</v>
      </c>
      <c r="K17" s="44">
        <f t="shared" si="1"/>
        <v>6.3000000000000007</v>
      </c>
      <c r="L17" s="44">
        <f t="shared" ref="L17:L24" si="5">IF(ISERR(K17-K18),"",K17-K18)</f>
        <v>0.45000000000000107</v>
      </c>
      <c r="M17" s="45">
        <f t="shared" ref="M17:M24" si="6">IF(ISERR(L17/K17),"",L17/K17)</f>
        <v>7.1428571428571591E-2</v>
      </c>
      <c r="N17" s="46"/>
      <c r="O17" s="47">
        <f>IF(ISNUMBER(rl_2),IF(ISNUMBER(plateau_3),plateau_3,""),"")</f>
        <v>30</v>
      </c>
      <c r="P17" s="48">
        <f>IF(ISNUMBER(plateau_3),IF(ISNUMBER(rl_2),rl_2,""),"")</f>
        <v>13</v>
      </c>
      <c r="Q17" s="49">
        <f t="shared" si="2"/>
        <v>4.8461538461538458</v>
      </c>
      <c r="R17" s="49">
        <f t="shared" ref="R17:R24" si="7">IF(ISERR(Q17-Q18),"",Q17-Q18)</f>
        <v>0.34615384615384581</v>
      </c>
      <c r="S17" s="50">
        <f t="shared" ref="S17:S24" si="8">IF(ISERR(R17/Q17),"",R17/Q17)</f>
        <v>7.1428571428571369E-2</v>
      </c>
      <c r="T17" s="29"/>
      <c r="U17" s="5"/>
      <c r="V17" s="9" t="s">
        <v>20</v>
      </c>
      <c r="W17" s="10" t="s">
        <v>38</v>
      </c>
      <c r="X17" s="11">
        <v>1985</v>
      </c>
      <c r="Y17" s="2">
        <v>95</v>
      </c>
    </row>
    <row r="18" spans="2:25">
      <c r="B18" s="35"/>
      <c r="C18" s="42">
        <f>IF(ISNUMBER(rl_3),IF(ISNUMBER(plateau_1),plateau_1,""),"")</f>
        <v>52</v>
      </c>
      <c r="D18" s="43">
        <f>IF(ISNUMBER(plateau_1),IF(ISNUMBER(rl_3),rl_3,""),"")</f>
        <v>14</v>
      </c>
      <c r="E18" s="44">
        <f t="shared" si="0"/>
        <v>7.8000000000000007</v>
      </c>
      <c r="F18" s="44">
        <f t="shared" si="3"/>
        <v>0.52000000000000046</v>
      </c>
      <c r="G18" s="45">
        <f t="shared" si="4"/>
        <v>6.6666666666666721E-2</v>
      </c>
      <c r="H18" s="46"/>
      <c r="I18" s="51">
        <f>IF(ISNUMBER(rl_3),IF(ISNUMBER(plateau_2),plateau_2,""),"")</f>
        <v>39</v>
      </c>
      <c r="J18" s="43">
        <f>IF(ISNUMBER(plateau_2),IF(ISNUMBER(rl_3),rl_3,""),"")</f>
        <v>14</v>
      </c>
      <c r="K18" s="44">
        <f t="shared" si="1"/>
        <v>5.85</v>
      </c>
      <c r="L18" s="44">
        <f t="shared" si="5"/>
        <v>0.38999999999999879</v>
      </c>
      <c r="M18" s="45">
        <f t="shared" si="6"/>
        <v>6.6666666666666458E-2</v>
      </c>
      <c r="N18" s="46"/>
      <c r="O18" s="47">
        <f>IF(ISNUMBER(rl_3),IF(ISNUMBER(plateau_3),plateau_3,""),"")</f>
        <v>30</v>
      </c>
      <c r="P18" s="48">
        <f>IF(ISNUMBER(plateau_3),IF(ISNUMBER(rl_3),rl_3,""),"")</f>
        <v>14</v>
      </c>
      <c r="Q18" s="49">
        <f t="shared" si="2"/>
        <v>4.5</v>
      </c>
      <c r="R18" s="49">
        <f t="shared" si="7"/>
        <v>0.29999999999999982</v>
      </c>
      <c r="S18" s="50">
        <f t="shared" si="8"/>
        <v>6.6666666666666624E-2</v>
      </c>
      <c r="T18" s="29"/>
      <c r="U18" s="5"/>
      <c r="V18" s="9" t="s">
        <v>21</v>
      </c>
      <c r="W18" s="10" t="s">
        <v>22</v>
      </c>
      <c r="X18" s="11">
        <v>2030</v>
      </c>
      <c r="Y18" s="2">
        <v>100</v>
      </c>
    </row>
    <row r="19" spans="2:25">
      <c r="B19" s="35"/>
      <c r="C19" s="42">
        <f>IF(ISNUMBER(rl_4),IF(ISNUMBER(plateau_1),plateau_1,""),"")</f>
        <v>52</v>
      </c>
      <c r="D19" s="43">
        <f>IF(ISNUMBER(plateau_1),IF(ISNUMBER(rl_4),rl_4,""),"")</f>
        <v>15</v>
      </c>
      <c r="E19" s="44">
        <f t="shared" si="0"/>
        <v>7.28</v>
      </c>
      <c r="F19" s="44">
        <f t="shared" si="3"/>
        <v>0.85647058823529409</v>
      </c>
      <c r="G19" s="45">
        <f t="shared" si="4"/>
        <v>0.11764705882352941</v>
      </c>
      <c r="H19" s="46"/>
      <c r="I19" s="51">
        <f>IF(ISNUMBER(rl_4),IF(ISNUMBER(plateau_2),plateau_2,""),"")</f>
        <v>39</v>
      </c>
      <c r="J19" s="43">
        <f>IF(ISNUMBER(plateau_2),IF(ISNUMBER(rl_4),rl_4,""),"")</f>
        <v>15</v>
      </c>
      <c r="K19" s="44">
        <f t="shared" si="1"/>
        <v>5.4600000000000009</v>
      </c>
      <c r="L19" s="44">
        <f t="shared" si="5"/>
        <v>0.64235294117647168</v>
      </c>
      <c r="M19" s="45">
        <f t="shared" si="6"/>
        <v>0.11764705882352959</v>
      </c>
      <c r="N19" s="46"/>
      <c r="O19" s="47">
        <f>IF(ISNUMBER(rl_4),IF(ISNUMBER(plateau_3),plateau_3,""),"")</f>
        <v>30</v>
      </c>
      <c r="P19" s="48">
        <f>IF(ISNUMBER(plateau_3),IF(ISNUMBER(rl_4),rl_4,""),"")</f>
        <v>15</v>
      </c>
      <c r="Q19" s="49">
        <f t="shared" si="2"/>
        <v>4.2</v>
      </c>
      <c r="R19" s="49">
        <f t="shared" si="7"/>
        <v>0.49411764705882355</v>
      </c>
      <c r="S19" s="50">
        <f t="shared" si="8"/>
        <v>0.11764705882352941</v>
      </c>
      <c r="T19" s="29"/>
      <c r="U19" s="5"/>
      <c r="V19" s="9" t="s">
        <v>23</v>
      </c>
      <c r="W19" s="10" t="s">
        <v>24</v>
      </c>
      <c r="X19" s="11">
        <v>2055</v>
      </c>
      <c r="Y19" s="2">
        <v>105</v>
      </c>
    </row>
    <row r="20" spans="2:25">
      <c r="B20" s="35"/>
      <c r="C20" s="42">
        <f>IF(ISNUMBER(rl_5),IF(ISNUMBER(plateau_1),plateau_1,""),"")</f>
        <v>52</v>
      </c>
      <c r="D20" s="43">
        <f>IF(ISNUMBER(plateau_1),IF(ISNUMBER(rl_5),rl_5,""),"")</f>
        <v>17</v>
      </c>
      <c r="E20" s="44">
        <f t="shared" si="0"/>
        <v>6.4235294117647062</v>
      </c>
      <c r="F20" s="44">
        <f t="shared" si="3"/>
        <v>0.67616099071207447</v>
      </c>
      <c r="G20" s="45">
        <f t="shared" si="4"/>
        <v>0.10526315789473686</v>
      </c>
      <c r="H20" s="46"/>
      <c r="I20" s="51">
        <f>IF(ISNUMBER(rl_5),IF(ISNUMBER(plateau_2),plateau_2,""),"")</f>
        <v>39</v>
      </c>
      <c r="J20" s="43">
        <f>IF(ISNUMBER(plateau_2),IF(ISNUMBER(rl_5),rl_5,""),"")</f>
        <v>17</v>
      </c>
      <c r="K20" s="44">
        <f t="shared" si="1"/>
        <v>4.8176470588235292</v>
      </c>
      <c r="L20" s="44">
        <f t="shared" si="5"/>
        <v>0.50712074303405519</v>
      </c>
      <c r="M20" s="45">
        <f t="shared" si="6"/>
        <v>0.10526315789473674</v>
      </c>
      <c r="N20" s="46"/>
      <c r="O20" s="42">
        <f>IF(ISNUMBER(rl_5),IF(ISNUMBER(plateau_3),plateau_3,""),"")</f>
        <v>30</v>
      </c>
      <c r="P20" s="52">
        <f>IF(ISNUMBER(plateau_3),IF(ISNUMBER(rl_5),rl_5,""),"")</f>
        <v>17</v>
      </c>
      <c r="Q20" s="44">
        <f t="shared" si="2"/>
        <v>3.7058823529411766</v>
      </c>
      <c r="R20" s="44">
        <f t="shared" si="7"/>
        <v>0.39009287925696601</v>
      </c>
      <c r="S20" s="45">
        <f t="shared" si="8"/>
        <v>0.10526315789473685</v>
      </c>
      <c r="T20" s="29"/>
      <c r="U20" s="5"/>
      <c r="V20" s="12" t="s">
        <v>19</v>
      </c>
      <c r="W20" s="13" t="s">
        <v>36</v>
      </c>
      <c r="X20" s="11">
        <v>1952</v>
      </c>
      <c r="Y20" s="2">
        <v>110</v>
      </c>
    </row>
    <row r="21" spans="2:25">
      <c r="B21" s="35"/>
      <c r="C21" s="42">
        <f>IF(ISNUMBER(rl_6),IF(ISNUMBER(plateau_1),plateau_1,""),"")</f>
        <v>52</v>
      </c>
      <c r="D21" s="43">
        <f>IF(ISNUMBER(plateau_1),IF(ISNUMBER(rl_6),rl_6,""),"")</f>
        <v>19</v>
      </c>
      <c r="E21" s="44">
        <f t="shared" si="0"/>
        <v>5.7473684210526317</v>
      </c>
      <c r="F21" s="44">
        <f t="shared" si="3"/>
        <v>0.5473684210526315</v>
      </c>
      <c r="G21" s="45">
        <f t="shared" si="4"/>
        <v>9.5238095238095219E-2</v>
      </c>
      <c r="H21" s="46"/>
      <c r="I21" s="51">
        <f>IF(ISNUMBER(rl_6),IF(ISNUMBER(plateau_2),plateau_2,""),"")</f>
        <v>39</v>
      </c>
      <c r="J21" s="43">
        <f>IF(ISNUMBER(plateau_2),IF(ISNUMBER(rl_6),rl_6,""),"")</f>
        <v>19</v>
      </c>
      <c r="K21" s="44">
        <f t="shared" si="1"/>
        <v>4.310526315789474</v>
      </c>
      <c r="L21" s="44">
        <f t="shared" si="5"/>
        <v>0.41052631578947363</v>
      </c>
      <c r="M21" s="45">
        <f t="shared" si="6"/>
        <v>9.5238095238095219E-2</v>
      </c>
      <c r="N21" s="46"/>
      <c r="O21" s="42">
        <f>IF(ISNUMBER(rl_6),IF(ISNUMBER(plateau_3),plateau_3,""),"")</f>
        <v>30</v>
      </c>
      <c r="P21" s="52">
        <f>IF(ISNUMBER(plateau_3),IF(ISNUMBER(rl_6),rl_6,""),"")</f>
        <v>19</v>
      </c>
      <c r="Q21" s="44">
        <f t="shared" si="2"/>
        <v>3.3157894736842106</v>
      </c>
      <c r="R21" s="44">
        <f t="shared" si="7"/>
        <v>0.31578947368421062</v>
      </c>
      <c r="S21" s="45">
        <f t="shared" si="8"/>
        <v>9.5238095238095261E-2</v>
      </c>
      <c r="T21" s="29"/>
      <c r="U21" s="5"/>
      <c r="V21" s="12" t="s">
        <v>44</v>
      </c>
      <c r="W21" s="13" t="s">
        <v>35</v>
      </c>
      <c r="X21" s="11">
        <v>2040</v>
      </c>
      <c r="Y21" s="2">
        <v>115</v>
      </c>
    </row>
    <row r="22" spans="2:25">
      <c r="B22" s="35"/>
      <c r="C22" s="42">
        <f>IF(ISNUMBER(rl_7),IF(ISNUMBER(plateau_1),plateau_1,""),"")</f>
        <v>52</v>
      </c>
      <c r="D22" s="43">
        <f>IF(ISNUMBER(plateau_1),IF(ISNUMBER(rl_7),rl_7,""),"")</f>
        <v>21</v>
      </c>
      <c r="E22" s="44">
        <f t="shared" si="0"/>
        <v>5.2</v>
      </c>
      <c r="F22" s="44">
        <f t="shared" si="3"/>
        <v>0.45217391304347831</v>
      </c>
      <c r="G22" s="45">
        <f t="shared" si="4"/>
        <v>8.6956521739130446E-2</v>
      </c>
      <c r="H22" s="46"/>
      <c r="I22" s="51">
        <f>IF(ISNUMBER(rl_7),IF(ISNUMBER(plateau_2),plateau_2,""),"")</f>
        <v>39</v>
      </c>
      <c r="J22" s="43">
        <f>IF(ISNUMBER(plateau_2),IF(ISNUMBER(rl_7),rl_7,""),"")</f>
        <v>21</v>
      </c>
      <c r="K22" s="44">
        <f t="shared" si="1"/>
        <v>3.9000000000000004</v>
      </c>
      <c r="L22" s="44">
        <f t="shared" si="5"/>
        <v>0.33913043478260896</v>
      </c>
      <c r="M22" s="45">
        <f t="shared" si="6"/>
        <v>8.6956521739130488E-2</v>
      </c>
      <c r="N22" s="46"/>
      <c r="O22" s="42">
        <f>IF(ISNUMBER(rl_7),IF(ISNUMBER(plateau_3),plateau_3,""),"")</f>
        <v>30</v>
      </c>
      <c r="P22" s="52">
        <f>IF(ISNUMBER(plateau_3),IF(ISNUMBER(rl_7),rl_7,""),"")</f>
        <v>21</v>
      </c>
      <c r="Q22" s="44">
        <f t="shared" si="2"/>
        <v>3</v>
      </c>
      <c r="R22" s="44">
        <f t="shared" si="7"/>
        <v>0.26086956521739113</v>
      </c>
      <c r="S22" s="45">
        <f t="shared" si="8"/>
        <v>8.6956521739130377E-2</v>
      </c>
      <c r="T22" s="29"/>
      <c r="U22" s="5"/>
      <c r="V22" s="9" t="s">
        <v>25</v>
      </c>
      <c r="W22" s="10" t="s">
        <v>26</v>
      </c>
      <c r="X22" s="11">
        <v>2086</v>
      </c>
      <c r="Y22" s="2">
        <v>120</v>
      </c>
    </row>
    <row r="23" spans="2:25">
      <c r="B23" s="35"/>
      <c r="C23" s="47">
        <f>IF(ISNUMBER(rl_8),IF(ISNUMBER(plateau_1),plateau_1,""),"")</f>
        <v>52</v>
      </c>
      <c r="D23" s="48">
        <f>IF(ISNUMBER(plateau_1),IF(ISNUMBER(rl_8),rl_8,""),"")</f>
        <v>23</v>
      </c>
      <c r="E23" s="49">
        <f t="shared" si="0"/>
        <v>4.7478260869565219</v>
      </c>
      <c r="F23" s="49">
        <f t="shared" si="3"/>
        <v>0.37982608695652154</v>
      </c>
      <c r="G23" s="50">
        <f t="shared" si="4"/>
        <v>7.999999999999996E-2</v>
      </c>
      <c r="H23" s="46"/>
      <c r="I23" s="51">
        <f>IF(ISNUMBER(rl_8),IF(ISNUMBER(plateau_2),plateau_2,""),"")</f>
        <v>39</v>
      </c>
      <c r="J23" s="43">
        <f>IF(ISNUMBER(plateau_2),IF(ISNUMBER(rl_8),rl_8,""),"")</f>
        <v>23</v>
      </c>
      <c r="K23" s="44">
        <f t="shared" si="1"/>
        <v>3.5608695652173914</v>
      </c>
      <c r="L23" s="44">
        <f t="shared" si="5"/>
        <v>0.28486956521739115</v>
      </c>
      <c r="M23" s="45">
        <f t="shared" si="6"/>
        <v>7.999999999999996E-2</v>
      </c>
      <c r="N23" s="46"/>
      <c r="O23" s="42">
        <f>IF(ISNUMBER(rl_8),IF(ISNUMBER(plateau_3),plateau_3,""),"")</f>
        <v>30</v>
      </c>
      <c r="P23" s="52">
        <f>IF(ISNUMBER(plateau_3),IF(ISNUMBER(rl_8),rl_8,""),"")</f>
        <v>23</v>
      </c>
      <c r="Q23" s="44">
        <f t="shared" si="2"/>
        <v>2.7391304347826089</v>
      </c>
      <c r="R23" s="44">
        <f t="shared" si="7"/>
        <v>0.21913043478260885</v>
      </c>
      <c r="S23" s="45">
        <f t="shared" si="8"/>
        <v>8.0000000000000057E-2</v>
      </c>
      <c r="T23" s="29"/>
      <c r="U23" s="5"/>
      <c r="V23" s="9" t="s">
        <v>27</v>
      </c>
      <c r="W23" s="10" t="s">
        <v>28</v>
      </c>
      <c r="X23" s="11">
        <v>2100</v>
      </c>
      <c r="Y23" s="2">
        <v>125</v>
      </c>
    </row>
    <row r="24" spans="2:25">
      <c r="B24" s="35"/>
      <c r="C24" s="47">
        <f>IF(ISNUMBER(rl_9),IF(ISNUMBER(plateau_1),plateau_1,""),"")</f>
        <v>52</v>
      </c>
      <c r="D24" s="48">
        <f>IF(ISNUMBER(plateau_1),IF(ISNUMBER(rl_9),rl_9,""),"")</f>
        <v>25</v>
      </c>
      <c r="E24" s="49">
        <f t="shared" si="0"/>
        <v>4.3680000000000003</v>
      </c>
      <c r="F24" s="49" t="str">
        <f t="shared" si="3"/>
        <v/>
      </c>
      <c r="G24" s="50" t="str">
        <f t="shared" si="4"/>
        <v/>
      </c>
      <c r="H24" s="46"/>
      <c r="I24" s="51">
        <f>IF(ISNUMBER(rl_9),IF(ISNUMBER(plateau_2),plateau_2,""),"")</f>
        <v>39</v>
      </c>
      <c r="J24" s="43">
        <f>IF(ISNUMBER(plateau_2),IF(ISNUMBER(rl_9),rl_9,""),"")</f>
        <v>25</v>
      </c>
      <c r="K24" s="44">
        <f t="shared" si="1"/>
        <v>3.2760000000000002</v>
      </c>
      <c r="L24" s="44" t="str">
        <f t="shared" si="5"/>
        <v/>
      </c>
      <c r="M24" s="45" t="str">
        <f t="shared" si="6"/>
        <v/>
      </c>
      <c r="N24" s="46"/>
      <c r="O24" s="42">
        <f>IF(ISNUMBER(rl_9),IF(ISNUMBER(plateau_3),plateau_3,""),"")</f>
        <v>30</v>
      </c>
      <c r="P24" s="52">
        <f>IF(ISNUMBER(plateau_3),IF(ISNUMBER(rl_9),rl_9,""),"")</f>
        <v>25</v>
      </c>
      <c r="Q24" s="44">
        <f t="shared" si="2"/>
        <v>2.52</v>
      </c>
      <c r="R24" s="44" t="str">
        <f t="shared" si="7"/>
        <v/>
      </c>
      <c r="S24" s="45" t="str">
        <f t="shared" si="8"/>
        <v/>
      </c>
      <c r="T24" s="29"/>
      <c r="U24" s="5"/>
      <c r="V24" s="9" t="s">
        <v>29</v>
      </c>
      <c r="W24" s="10" t="s">
        <v>30</v>
      </c>
      <c r="X24" s="11">
        <v>2105</v>
      </c>
      <c r="Y24" s="2">
        <v>130</v>
      </c>
    </row>
    <row r="25" spans="2:25" ht="16.5" thickBot="1">
      <c r="B25" s="26"/>
      <c r="C25" s="53" t="str">
        <f>IF(ISNUMBER(rl_10),IF(ISNUMBER(plateau_1),plateau_1,""),"")</f>
        <v/>
      </c>
      <c r="D25" s="54" t="str">
        <f>IF(ISNUMBER(plateau_1),IF(ISNUMBER(rl_10),rl_10,""),"")</f>
        <v/>
      </c>
      <c r="E25" s="55" t="str">
        <f t="shared" si="0"/>
        <v/>
      </c>
      <c r="F25" s="55"/>
      <c r="G25" s="56"/>
      <c r="H25" s="28"/>
      <c r="I25" s="57" t="str">
        <f>IF(ISNUMBER(rl_10),IF(ISNUMBER(plateau_2),plateau_2,""),"")</f>
        <v/>
      </c>
      <c r="J25" s="58" t="str">
        <f>IF(ISNUMBER(plateau_2),IF(ISNUMBER(rl_10),rl_10,""),"")</f>
        <v/>
      </c>
      <c r="K25" s="59" t="str">
        <f t="shared" si="1"/>
        <v/>
      </c>
      <c r="L25" s="59"/>
      <c r="M25" s="60"/>
      <c r="N25" s="28"/>
      <c r="O25" s="61" t="str">
        <f>IF(ISNUMBER(rl_10),IF(ISNUMBER(plateau_3),plateau_3,""),"")</f>
        <v/>
      </c>
      <c r="P25" s="62" t="str">
        <f>IF(ISNUMBER(plateau_3),IF(ISNUMBER(rl_10),rl_10,""),"")</f>
        <v/>
      </c>
      <c r="Q25" s="59" t="str">
        <f t="shared" si="2"/>
        <v/>
      </c>
      <c r="R25" s="59"/>
      <c r="S25" s="60"/>
      <c r="T25" s="29"/>
      <c r="U25" s="5"/>
      <c r="V25" s="9" t="s">
        <v>31</v>
      </c>
      <c r="W25" s="10" t="s">
        <v>32</v>
      </c>
      <c r="X25" s="11">
        <v>2136</v>
      </c>
    </row>
    <row r="26" spans="2:25" ht="16.5" thickBot="1">
      <c r="B26" s="63"/>
      <c r="C26" s="30"/>
      <c r="D26" s="30"/>
      <c r="E26" s="30"/>
      <c r="F26" s="30"/>
      <c r="G26" s="30"/>
      <c r="H26" s="30"/>
      <c r="I26" s="30"/>
      <c r="J26" s="30"/>
      <c r="K26" s="30"/>
      <c r="L26" s="30"/>
      <c r="M26" s="30"/>
      <c r="N26" s="30"/>
      <c r="O26" s="30"/>
      <c r="P26" s="30"/>
      <c r="Q26" s="30"/>
      <c r="R26" s="30"/>
      <c r="S26" s="30"/>
      <c r="T26" s="64"/>
      <c r="U26" s="5"/>
      <c r="V26" s="14" t="s">
        <v>33</v>
      </c>
      <c r="W26" s="15" t="s">
        <v>34</v>
      </c>
      <c r="X26" s="16">
        <v>2155</v>
      </c>
    </row>
    <row r="27" spans="2:25">
      <c r="T27" s="19"/>
    </row>
    <row r="30" spans="2:25" ht="19.5" customHeight="1">
      <c r="C30" s="80" t="s">
        <v>128</v>
      </c>
      <c r="F30" s="3"/>
    </row>
    <row r="31" spans="2:25" ht="19.5" customHeight="1">
      <c r="F31" s="3"/>
    </row>
    <row r="32" spans="2:25" ht="19.5" customHeight="1">
      <c r="F32" s="3"/>
    </row>
    <row r="33" spans="3:6" ht="19.5" customHeight="1">
      <c r="F33" s="3"/>
    </row>
    <row r="34" spans="3:6" ht="19.5" customHeight="1">
      <c r="F34" s="3"/>
    </row>
    <row r="35" spans="3:6" ht="19.5" customHeight="1">
      <c r="F35" s="3"/>
    </row>
    <row r="36" spans="3:6" ht="19.5" customHeight="1">
      <c r="F36" s="3"/>
    </row>
    <row r="37" spans="3:6" ht="19.5" customHeight="1">
      <c r="F37" s="3"/>
    </row>
    <row r="38" spans="3:6" ht="19.5" customHeight="1">
      <c r="F38" s="3"/>
    </row>
    <row r="39" spans="3:6" ht="19.5" customHeight="1">
      <c r="F39" s="3"/>
    </row>
    <row r="40" spans="3:6" ht="19.5" customHeight="1">
      <c r="F40" s="3"/>
    </row>
    <row r="41" spans="3:6" ht="19.5" customHeight="1">
      <c r="F41" s="3"/>
    </row>
    <row r="42" spans="3:6" ht="19.5" customHeight="1">
      <c r="F42" s="3"/>
    </row>
    <row r="43" spans="3:6" ht="19.5" customHeight="1">
      <c r="F43" s="3"/>
    </row>
    <row r="44" spans="3:6" ht="19.5" customHeight="1"/>
    <row r="45" spans="3:6" ht="19.5" customHeight="1">
      <c r="C45" s="1"/>
      <c r="D45" s="1"/>
    </row>
    <row r="46" spans="3:6" ht="19.5" customHeight="1"/>
    <row r="47" spans="3:6" ht="19.5" customHeight="1"/>
    <row r="48" spans="3:6" ht="19.5" customHeight="1"/>
    <row r="49" ht="19.5" customHeight="1"/>
    <row r="50" ht="19.5" customHeight="1"/>
    <row r="51" ht="19.5" customHeight="1"/>
  </sheetData>
  <protectedRanges>
    <protectedRange sqref="C5 C8 E8 G8 C11:L11 V12:X26" name="Plage1"/>
  </protectedRanges>
  <dataConsolidate/>
  <mergeCells count="2">
    <mergeCell ref="C5:D5"/>
    <mergeCell ref="C4:D4"/>
  </mergeCells>
  <phoneticPr fontId="3" type="noConversion"/>
  <dataValidations count="14">
    <dataValidation type="list" allowBlank="1" showInputMessage="1" showErrorMessage="1" errorTitle="Erreur !" error="Saisissez des données correctes" promptTitle="Cliquez" prompt="sur le triangle" sqref="C8">
      <formula1>"non,42,43,44,45,46,47,48,49,50,51,52,53,54,55,56"</formula1>
    </dataValidation>
    <dataValidation type="list" allowBlank="1" showInputMessage="1" showErrorMessage="1" errorTitle="Erreur !" error="Saisissez des données correctes" promptTitle="Cliquez" prompt="sur le triangle" sqref="E8">
      <formula1>"non,32,34,36,38,39,40,41,42,43,44,45,46"</formula1>
    </dataValidation>
    <dataValidation type="list" allowBlank="1" showInputMessage="1" showErrorMessage="1" errorTitle="Erreur !" error="Saisissez des données correctes" promptTitle="Cliquez" prompt="sur le triangle" sqref="G8">
      <formula1>"non,22,24,26,28,30,32,34,36"</formula1>
    </dataValidation>
    <dataValidation type="list" allowBlank="1" showInputMessage="1" showErrorMessage="1" errorTitle="Erreur !" error="Saisissez des données correctes" promptTitle="Cliquez" prompt="sur le triangle" sqref="C11">
      <formula1>"non,11,12,13,14,15,16"</formula1>
    </dataValidation>
    <dataValidation type="list" allowBlank="1" showInputMessage="1" showErrorMessage="1" errorTitle="Erreur !" error="Saisissez des données correctes" sqref="E11">
      <formula1>"non,13,14,15,16,17,18,19,20,21,22,23,24"</formula1>
    </dataValidation>
    <dataValidation type="list" allowBlank="1" showInputMessage="1" showErrorMessage="1" errorTitle="Erreur !" error="Saisissez des données correctes" sqref="D11">
      <formula1>"non,12,13,14,15,16,17,18,19"</formula1>
    </dataValidation>
    <dataValidation type="list" allowBlank="1" showInputMessage="1" showErrorMessage="1" errorTitle="Erreur !" error="Saisissez des données correctes" sqref="F11">
      <formula1>"non,14,15,16,17,18,19,20,21,22,23,24,25,26"</formula1>
    </dataValidation>
    <dataValidation type="list" allowBlank="1" showInputMessage="1" showErrorMessage="1" errorTitle="Erreur !" error="Saisissez des données correctes" sqref="J11">
      <formula1>"non,18,19,20,21,22,23,24,25,26,27,28,29,30"</formula1>
    </dataValidation>
    <dataValidation type="list" allowBlank="1" showInputMessage="1" showErrorMessage="1" errorTitle="Erreur !" error="Saisissez des données correctes" sqref="I11">
      <formula1>"non,17,18,19,20,21,22,23,24,26,27,28"</formula1>
    </dataValidation>
    <dataValidation type="list" allowBlank="1" showInputMessage="1" showErrorMessage="1" errorTitle="Erreur !" error="Saisissez des données correctes" sqref="H11">
      <formula1>"non,16,17,18,19,20,21,22,23,24,26,27,28"</formula1>
    </dataValidation>
    <dataValidation type="list" allowBlank="1" showInputMessage="1" showErrorMessage="1" errorTitle="erreur !" error="Saisissez des données correctes" sqref="G11">
      <formula1>"non,15,16,17,18,19,20,21,22,23,24,26,27,28"</formula1>
    </dataValidation>
    <dataValidation type="list" allowBlank="1" showInputMessage="1" showErrorMessage="1" errorTitle="erreur !" error="Saisissez des données correctes" sqref="K11">
      <formula1>"non,19,20,21,22,23,24,25,26,27,28,29,30,32"</formula1>
    </dataValidation>
    <dataValidation type="list" allowBlank="1" showInputMessage="1" showErrorMessage="1" errorTitle="Erreur !" error="Saisissez des données correctes" sqref="L11">
      <formula1>"non,20,21,22,23,24,25,26,27,28,29,30,31,32"</formula1>
    </dataValidation>
    <dataValidation type="list" errorStyle="information" allowBlank="1" showInputMessage="1" showErrorMessage="1" errorTitle="Erreur !" error="Saisissez des données correctes" promptTitle="Cliquez" prompt="sur le triangle" sqref="C5">
      <formula1>$W$12:$W$26</formula1>
    </dataValidation>
  </dataValidations>
  <printOptions horizontalCentered="1" verticalCentered="1"/>
  <pageMargins left="0.39370078740157483" right="0.78740157480314965" top="0.39370078740157483" bottom="0.39370078740157483" header="0.51181102362204722" footer="0.51181102362204722"/>
  <pageSetup paperSize="9" scale="97"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election activeCell="P6" sqref="P6"/>
    </sheetView>
  </sheetViews>
  <sheetFormatPr baseColWidth="10" defaultRowHeight="12.75"/>
  <cols>
    <col min="1" max="1" width="6.28515625" style="68" customWidth="1"/>
    <col min="2" max="2" width="113.28515625" style="68" customWidth="1"/>
    <col min="3" max="16384" width="11.42578125" style="68"/>
  </cols>
  <sheetData>
    <row r="1" spans="1:2" s="67" customFormat="1" ht="40.5" customHeight="1" thickBot="1">
      <c r="A1" s="65"/>
      <c r="B1" s="66" t="s">
        <v>120</v>
      </c>
    </row>
    <row r="2" spans="1:2" ht="13.5" customHeight="1">
      <c r="A2" s="67"/>
      <c r="B2" s="74"/>
    </row>
    <row r="3" spans="1:2" s="69" customFormat="1" ht="13.5" customHeight="1">
      <c r="A3" s="68"/>
      <c r="B3" s="75" t="s">
        <v>119</v>
      </c>
    </row>
    <row r="4" spans="1:2" s="67" customFormat="1" ht="13.5" customHeight="1">
      <c r="A4" s="69"/>
      <c r="B4" s="76"/>
    </row>
    <row r="5" spans="1:2" ht="13.5" customHeight="1">
      <c r="A5" s="67"/>
      <c r="B5" s="77" t="s">
        <v>121</v>
      </c>
    </row>
    <row r="6" spans="1:2" s="67" customFormat="1" ht="13.5" customHeight="1">
      <c r="A6" s="68"/>
      <c r="B6" s="76"/>
    </row>
    <row r="7" spans="1:2" ht="13.5" customHeight="1">
      <c r="A7" s="67"/>
      <c r="B7" s="77" t="s">
        <v>122</v>
      </c>
    </row>
    <row r="8" spans="1:2" s="67" customFormat="1" ht="13.5" customHeight="1">
      <c r="A8" s="68"/>
      <c r="B8" s="76"/>
    </row>
    <row r="9" spans="1:2" ht="13.5" customHeight="1">
      <c r="A9" s="67"/>
      <c r="B9" s="77" t="s">
        <v>123</v>
      </c>
    </row>
    <row r="10" spans="1:2" s="67" customFormat="1" ht="13.5" customHeight="1">
      <c r="A10" s="68"/>
      <c r="B10" s="76"/>
    </row>
    <row r="11" spans="1:2" ht="13.5" customHeight="1">
      <c r="A11" s="67"/>
      <c r="B11" s="77" t="s">
        <v>124</v>
      </c>
    </row>
    <row r="12" spans="1:2" s="67" customFormat="1" ht="13.5" customHeight="1">
      <c r="A12" s="68"/>
      <c r="B12" s="76"/>
    </row>
    <row r="13" spans="1:2" ht="13.5" customHeight="1">
      <c r="A13" s="67"/>
      <c r="B13" s="77" t="s">
        <v>125</v>
      </c>
    </row>
    <row r="14" spans="1:2" s="67" customFormat="1" ht="13.5" customHeight="1">
      <c r="A14" s="68"/>
      <c r="B14" s="76"/>
    </row>
    <row r="15" spans="1:2" ht="13.5" customHeight="1">
      <c r="A15" s="67"/>
      <c r="B15" s="77" t="s">
        <v>126</v>
      </c>
    </row>
    <row r="16" spans="1:2" ht="13.5" customHeight="1" thickBot="1">
      <c r="B16" s="78"/>
    </row>
    <row r="17" spans="1:2">
      <c r="B17" s="70"/>
    </row>
    <row r="18" spans="1:2" s="67" customFormat="1" ht="15.75">
      <c r="A18" s="68"/>
      <c r="B18" s="79" t="s">
        <v>115</v>
      </c>
    </row>
    <row r="19" spans="1:2">
      <c r="A19" s="67"/>
    </row>
    <row r="20" spans="1:2" s="67" customFormat="1">
      <c r="B20" s="71"/>
    </row>
    <row r="21" spans="1:2" s="67" customFormat="1">
      <c r="B21" s="72" t="s">
        <v>117</v>
      </c>
    </row>
    <row r="22" spans="1:2" s="67" customFormat="1" ht="25.5">
      <c r="B22" s="72" t="s">
        <v>118</v>
      </c>
    </row>
    <row r="23" spans="1:2">
      <c r="A23" s="67"/>
      <c r="B23" s="73" t="s">
        <v>127</v>
      </c>
    </row>
    <row r="25" spans="1:2" s="67" customFormat="1">
      <c r="B25" s="71" t="s">
        <v>116</v>
      </c>
    </row>
  </sheetData>
  <phoneticPr fontId="3" type="noConversion"/>
  <pageMargins left="0.78740157499999996" right="0.78740157499999996" top="0.984251969" bottom="0.984251969" header="0.4921259845" footer="0.4921259845"/>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P6" sqref="P6"/>
    </sheetView>
  </sheetViews>
  <sheetFormatPr baseColWidth="10" defaultRowHeight="15"/>
  <cols>
    <col min="1" max="1" width="15.7109375" style="18" customWidth="1"/>
    <col min="2" max="2" width="17.28515625" style="18" bestFit="1" customWidth="1"/>
    <col min="3" max="3" width="22" style="18" customWidth="1"/>
    <col min="4" max="4" width="20.42578125" style="18" customWidth="1"/>
    <col min="5" max="5" width="23.28515625" style="18" bestFit="1" customWidth="1"/>
    <col min="6" max="6" width="24.140625" style="18" customWidth="1"/>
    <col min="7" max="16384" width="11.42578125" style="18"/>
  </cols>
  <sheetData>
    <row r="1" spans="1:5" ht="15.75">
      <c r="A1" s="17"/>
      <c r="B1" s="17"/>
      <c r="C1" s="17"/>
    </row>
    <row r="2" spans="1:5" ht="15.75">
      <c r="C2" s="17"/>
    </row>
    <row r="3" spans="1:5" ht="15.75">
      <c r="A3" s="17" t="s">
        <v>46</v>
      </c>
      <c r="B3" s="17" t="s">
        <v>47</v>
      </c>
      <c r="C3" s="17" t="s">
        <v>48</v>
      </c>
      <c r="D3" s="17" t="s">
        <v>49</v>
      </c>
      <c r="E3" s="17" t="s">
        <v>50</v>
      </c>
    </row>
    <row r="4" spans="1:5">
      <c r="A4" s="18" t="s">
        <v>51</v>
      </c>
      <c r="B4" s="18" t="s">
        <v>52</v>
      </c>
      <c r="C4" s="18" t="s">
        <v>52</v>
      </c>
      <c r="E4" s="18" t="s">
        <v>53</v>
      </c>
    </row>
    <row r="5" spans="1:5">
      <c r="A5" s="18" t="s">
        <v>54</v>
      </c>
      <c r="B5" s="18" t="s">
        <v>55</v>
      </c>
      <c r="C5" s="18" t="s">
        <v>55</v>
      </c>
      <c r="D5" s="18" t="s">
        <v>56</v>
      </c>
      <c r="E5" s="18" t="s">
        <v>53</v>
      </c>
    </row>
    <row r="6" spans="1:5">
      <c r="A6" s="18" t="s">
        <v>13</v>
      </c>
      <c r="B6" s="18" t="s">
        <v>57</v>
      </c>
      <c r="C6" s="18" t="s">
        <v>57</v>
      </c>
      <c r="E6" s="18" t="s">
        <v>58</v>
      </c>
    </row>
    <row r="7" spans="1:5">
      <c r="A7" s="18" t="s">
        <v>59</v>
      </c>
      <c r="B7" s="18" t="s">
        <v>60</v>
      </c>
      <c r="C7" s="18" t="s">
        <v>60</v>
      </c>
      <c r="E7" s="18" t="s">
        <v>61</v>
      </c>
    </row>
    <row r="8" spans="1:5">
      <c r="A8" s="18" t="s">
        <v>15</v>
      </c>
      <c r="B8" s="18" t="s">
        <v>62</v>
      </c>
      <c r="C8" s="18" t="s">
        <v>62</v>
      </c>
      <c r="E8" s="18" t="s">
        <v>61</v>
      </c>
    </row>
    <row r="9" spans="1:5">
      <c r="A9" s="18" t="s">
        <v>63</v>
      </c>
      <c r="B9" s="18" t="s">
        <v>64</v>
      </c>
      <c r="C9" s="18" t="s">
        <v>64</v>
      </c>
      <c r="E9" s="18" t="s">
        <v>61</v>
      </c>
    </row>
    <row r="10" spans="1:5">
      <c r="A10" s="18" t="s">
        <v>65</v>
      </c>
      <c r="B10" s="18" t="s">
        <v>66</v>
      </c>
      <c r="C10" s="18" t="s">
        <v>66</v>
      </c>
      <c r="D10" s="18" t="s">
        <v>67</v>
      </c>
      <c r="E10" s="18" t="s">
        <v>68</v>
      </c>
    </row>
    <row r="11" spans="1:5">
      <c r="A11" s="18" t="s">
        <v>17</v>
      </c>
      <c r="B11" s="18" t="s">
        <v>69</v>
      </c>
      <c r="C11" s="18" t="s">
        <v>69</v>
      </c>
      <c r="E11" s="18" t="s">
        <v>70</v>
      </c>
    </row>
    <row r="12" spans="1:5">
      <c r="A12" s="18" t="s">
        <v>71</v>
      </c>
      <c r="B12" s="18" t="s">
        <v>72</v>
      </c>
      <c r="C12" s="18" t="s">
        <v>72</v>
      </c>
      <c r="D12" s="18" t="s">
        <v>73</v>
      </c>
      <c r="E12" s="18" t="s">
        <v>74</v>
      </c>
    </row>
    <row r="13" spans="1:5">
      <c r="A13" s="18" t="s">
        <v>75</v>
      </c>
      <c r="B13" s="18" t="s">
        <v>76</v>
      </c>
      <c r="C13" s="18" t="s">
        <v>76</v>
      </c>
      <c r="D13" s="18" t="s">
        <v>77</v>
      </c>
      <c r="E13" s="18" t="s">
        <v>78</v>
      </c>
    </row>
    <row r="14" spans="1:5">
      <c r="A14" s="18" t="s">
        <v>79</v>
      </c>
      <c r="B14" s="18" t="s">
        <v>80</v>
      </c>
      <c r="C14" s="18" t="s">
        <v>80</v>
      </c>
      <c r="D14" s="18" t="s">
        <v>81</v>
      </c>
      <c r="E14" s="18" t="s">
        <v>82</v>
      </c>
    </row>
    <row r="15" spans="1:5">
      <c r="A15" s="18" t="s">
        <v>79</v>
      </c>
      <c r="B15" s="18" t="s">
        <v>83</v>
      </c>
      <c r="C15" s="18" t="s">
        <v>83</v>
      </c>
      <c r="D15" s="18" t="s">
        <v>81</v>
      </c>
      <c r="E15" s="18" t="s">
        <v>82</v>
      </c>
    </row>
    <row r="16" spans="1:5">
      <c r="A16" s="18" t="s">
        <v>84</v>
      </c>
      <c r="B16" s="18" t="s">
        <v>85</v>
      </c>
      <c r="C16" s="18" t="s">
        <v>85</v>
      </c>
      <c r="D16" s="18" t="s">
        <v>86</v>
      </c>
      <c r="E16" s="18" t="s">
        <v>82</v>
      </c>
    </row>
    <row r="17" spans="1:5">
      <c r="A17" s="18" t="s">
        <v>87</v>
      </c>
      <c r="B17" s="18" t="s">
        <v>88</v>
      </c>
      <c r="C17" s="18" t="s">
        <v>88</v>
      </c>
      <c r="E17" s="18" t="s">
        <v>89</v>
      </c>
    </row>
    <row r="18" spans="1:5">
      <c r="A18" s="18" t="s">
        <v>90</v>
      </c>
      <c r="B18" s="18" t="s">
        <v>91</v>
      </c>
      <c r="C18" s="18" t="s">
        <v>91</v>
      </c>
      <c r="D18" s="18" t="s">
        <v>92</v>
      </c>
      <c r="E18" s="18" t="s">
        <v>93</v>
      </c>
    </row>
    <row r="19" spans="1:5">
      <c r="A19" s="18" t="s">
        <v>27</v>
      </c>
      <c r="B19" s="18" t="s">
        <v>91</v>
      </c>
      <c r="C19" s="18" t="s">
        <v>91</v>
      </c>
      <c r="D19" s="18" t="s">
        <v>94</v>
      </c>
      <c r="E19" s="18" t="s">
        <v>93</v>
      </c>
    </row>
    <row r="20" spans="1:5">
      <c r="A20" s="18" t="s">
        <v>29</v>
      </c>
      <c r="B20" s="18" t="s">
        <v>95</v>
      </c>
      <c r="C20" s="18" t="s">
        <v>95</v>
      </c>
      <c r="D20" s="18" t="s">
        <v>96</v>
      </c>
      <c r="E20" s="18" t="s">
        <v>93</v>
      </c>
    </row>
    <row r="21" spans="1:5">
      <c r="A21" s="18" t="s">
        <v>31</v>
      </c>
      <c r="B21" s="18" t="s">
        <v>97</v>
      </c>
      <c r="C21" s="18" t="s">
        <v>97</v>
      </c>
      <c r="D21" s="18" t="s">
        <v>98</v>
      </c>
      <c r="E21" s="18" t="s">
        <v>93</v>
      </c>
    </row>
    <row r="22" spans="1:5">
      <c r="A22" s="18" t="s">
        <v>33</v>
      </c>
      <c r="B22" s="18" t="s">
        <v>99</v>
      </c>
      <c r="C22" s="18" t="s">
        <v>99</v>
      </c>
      <c r="D22" s="18" t="s">
        <v>100</v>
      </c>
      <c r="E22" s="18" t="s">
        <v>93</v>
      </c>
    </row>
    <row r="23" spans="1:5">
      <c r="A23" s="18" t="s">
        <v>101</v>
      </c>
      <c r="B23" s="18" t="s">
        <v>102</v>
      </c>
      <c r="C23" s="18" t="s">
        <v>103</v>
      </c>
      <c r="D23" s="18" t="s">
        <v>104</v>
      </c>
      <c r="E23" s="18" t="s">
        <v>93</v>
      </c>
    </row>
    <row r="24" spans="1:5">
      <c r="A24" s="18" t="s">
        <v>105</v>
      </c>
      <c r="B24" s="18" t="s">
        <v>106</v>
      </c>
      <c r="C24" s="18" t="s">
        <v>106</v>
      </c>
      <c r="D24" s="18" t="s">
        <v>107</v>
      </c>
      <c r="E24" s="18" t="s">
        <v>93</v>
      </c>
    </row>
    <row r="25" spans="1:5">
      <c r="A25" s="18" t="s">
        <v>108</v>
      </c>
      <c r="B25" s="18" t="s">
        <v>109</v>
      </c>
      <c r="C25" s="18" t="s">
        <v>109</v>
      </c>
      <c r="D25" s="18" t="s">
        <v>114</v>
      </c>
      <c r="E25" s="18" t="s">
        <v>110</v>
      </c>
    </row>
    <row r="26" spans="1:5">
      <c r="A26" s="18" t="s">
        <v>111</v>
      </c>
      <c r="B26" s="18" t="s">
        <v>112</v>
      </c>
      <c r="C26" s="18" t="s">
        <v>112</v>
      </c>
      <c r="D26" s="18" t="s">
        <v>113</v>
      </c>
      <c r="E26" s="18" t="s">
        <v>93</v>
      </c>
    </row>
  </sheetData>
  <phoneticPr fontId="3" type="noConversion"/>
  <pageMargins left="0.78740157499999996" right="0.78740157499999996" top="0.984251969" bottom="0.984251969" header="0.4921259845" footer="0.492125984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P6" sqref="P6"/>
    </sheetView>
  </sheetViews>
  <sheetFormatPr baseColWidth="10" defaultRowHeight="12.75"/>
  <cols>
    <col min="1" max="1" width="126.28515625" customWidth="1"/>
  </cols>
  <sheetData>
    <row r="1" spans="1:1" ht="19.5">
      <c r="A1" s="81" t="s">
        <v>129</v>
      </c>
    </row>
    <row r="3" spans="1:1" ht="38.25">
      <c r="A3" s="85" t="s">
        <v>130</v>
      </c>
    </row>
    <row r="4" spans="1:1" ht="38.25">
      <c r="A4" s="85" t="s">
        <v>131</v>
      </c>
    </row>
    <row r="5" spans="1:1">
      <c r="A5" s="85" t="s">
        <v>132</v>
      </c>
    </row>
    <row r="6" spans="1:1" ht="15.75">
      <c r="A6" s="83"/>
    </row>
    <row r="7" spans="1:1">
      <c r="A7" s="84" t="s">
        <v>133</v>
      </c>
    </row>
    <row r="8" spans="1:1">
      <c r="A8" s="82" t="s">
        <v>134</v>
      </c>
    </row>
    <row r="9" spans="1:1" ht="15.75">
      <c r="A9" s="83"/>
    </row>
  </sheetData>
  <phoneticPr fontId="3" type="noConversion"/>
  <hyperlinks>
    <hyperlink ref="A7" r:id="rId1" display="http://www.01net.com/images/66735.gif"/>
  </hyperlinks>
  <pageMargins left="0.78740157499999996" right="0.78740157499999996" top="0.984251969" bottom="0.984251969" header="0.4921259845" footer="0.4921259845"/>
  <pageSetup paperSize="9" orientation="portrait" horizontalDpi="4294967293" verticalDpi="4294967293"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32</vt:i4>
      </vt:variant>
    </vt:vector>
  </HeadingPairs>
  <TitlesOfParts>
    <vt:vector size="37" baseType="lpstr">
      <vt:lpstr>braquets</vt:lpstr>
      <vt:lpstr>braquets n&amp;b</vt:lpstr>
      <vt:lpstr>remarques</vt:lpstr>
      <vt:lpstr>ETRTO</vt:lpstr>
      <vt:lpstr>créer liste</vt:lpstr>
      <vt:lpstr>'braquets n&amp;b'!_rl3</vt:lpstr>
      <vt:lpstr>_rl3</vt:lpstr>
      <vt:lpstr>'braquets n&amp;b'!circonférence</vt:lpstr>
      <vt:lpstr>circonférence</vt:lpstr>
      <vt:lpstr>'braquets n&amp;b'!plateau_1</vt:lpstr>
      <vt:lpstr>plateau_1</vt:lpstr>
      <vt:lpstr>'braquets n&amp;b'!plateau_2</vt:lpstr>
      <vt:lpstr>plateau_2</vt:lpstr>
      <vt:lpstr>'braquets n&amp;b'!plateau_3</vt:lpstr>
      <vt:lpstr>plateau_3</vt:lpstr>
      <vt:lpstr>'braquets n&amp;b'!rl_1</vt:lpstr>
      <vt:lpstr>rl_1</vt:lpstr>
      <vt:lpstr>'braquets n&amp;b'!rl_10</vt:lpstr>
      <vt:lpstr>rl_10</vt:lpstr>
      <vt:lpstr>'braquets n&amp;b'!rl_2</vt:lpstr>
      <vt:lpstr>rl_2</vt:lpstr>
      <vt:lpstr>'braquets n&amp;b'!rl_3</vt:lpstr>
      <vt:lpstr>rl_3</vt:lpstr>
      <vt:lpstr>'braquets n&amp;b'!rl_4</vt:lpstr>
      <vt:lpstr>rl_4</vt:lpstr>
      <vt:lpstr>'braquets n&amp;b'!rl_5</vt:lpstr>
      <vt:lpstr>rl_5</vt:lpstr>
      <vt:lpstr>'braquets n&amp;b'!rl_6</vt:lpstr>
      <vt:lpstr>rl_6</vt:lpstr>
      <vt:lpstr>'braquets n&amp;b'!rl_7</vt:lpstr>
      <vt:lpstr>rl_7</vt:lpstr>
      <vt:lpstr>'braquets n&amp;b'!rl_8</vt:lpstr>
      <vt:lpstr>rl_8</vt:lpstr>
      <vt:lpstr>'braquets n&amp;b'!rl_9</vt:lpstr>
      <vt:lpstr>rl_9</vt:lpstr>
      <vt:lpstr>braquets!Zone_d_impression</vt:lpstr>
      <vt:lpstr>'braquets n&amp;b'!Zone_d_impression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André</cp:lastModifiedBy>
  <cp:lastPrinted>2009-05-16T17:01:09Z</cp:lastPrinted>
  <dcterms:created xsi:type="dcterms:W3CDTF">2004-10-09T19:07:42Z</dcterms:created>
  <dcterms:modified xsi:type="dcterms:W3CDTF">2013-02-28T09:43:36Z</dcterms:modified>
</cp:coreProperties>
</file>